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F326E60D-BE81-4188-94A0-2CF2BA0687F5}" xr6:coauthVersionLast="47" xr6:coauthVersionMax="47" xr10:uidLastSave="{00000000-0000-0000-0000-000000000000}"/>
  <bookViews>
    <workbookView xWindow="-120" yWindow="-120" windowWidth="24240" windowHeight="13140" firstSheet="10" activeTab="14"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Dividends " sheetId="17" r:id="rId8"/>
    <sheet name="Earnings" sheetId="27" r:id="rId9"/>
    <sheet name="Direct Debt" sheetId="13" r:id="rId10"/>
    <sheet name="Yield Debt" sheetId="8" r:id="rId11"/>
    <sheet name="Direct GCF" sheetId="5" r:id="rId12"/>
    <sheet name="Direct NOPAT" sheetId="12" r:id="rId13"/>
    <sheet name="Growth &amp; Inflation Rates" sheetId="24" r:id="rId14"/>
    <sheet name="Indicated Yield Equity Rate " sheetId="33" r:id="rId15"/>
    <sheet name="CAPM" sheetId="34" r:id="rId16"/>
    <sheet name="Single Stage Div Growth Model" sheetId="19" r:id="rId17"/>
    <sheet name="Two-Stage Div Growth Model" sheetId="20" r:id="rId18"/>
    <sheet name="Multiples" sheetId="25" r:id="rId19"/>
    <sheet name="Info" sheetId="9" r:id="rId20"/>
  </sheets>
  <definedNames>
    <definedName name="_xlnm.Print_Area" localSheetId="6">'Beta for CAPM'!$A$1:$I$39</definedName>
    <definedName name="_xlnm.Print_Area" localSheetId="15">CAPM!$A$1:$H$86</definedName>
    <definedName name="_xlnm.Print_Area" localSheetId="0">'Cover Sheet'!$A$1:$I$37</definedName>
    <definedName name="_xlnm.Print_Area" localSheetId="2">'Direct CapRates'!$A$1:$H$66</definedName>
    <definedName name="_xlnm.Print_Area" localSheetId="9">'Direct Debt'!$A$1:$K$37</definedName>
    <definedName name="_xlnm.Print_Area" localSheetId="11">'Direct GCF'!$A$1:$N$41</definedName>
    <definedName name="_xlnm.Print_Area" localSheetId="12">'Direct NOPAT'!$A$1:$N$64</definedName>
    <definedName name="_xlnm.Print_Area" localSheetId="7">'Dividends '!$A$1:$K$33</definedName>
    <definedName name="_xlnm.Print_Area" localSheetId="8">Earnings!$A$1:$K$33</definedName>
    <definedName name="_xlnm.Print_Area" localSheetId="13">'Growth &amp; Inflation Rates'!$A$1:$H$116</definedName>
    <definedName name="_xlnm.Print_Area" localSheetId="14">'Indicated Yield Equity Rate '!$A$1:$F$59</definedName>
    <definedName name="_xlnm.Print_Area" localSheetId="5">'Maintenance CapEx'!$A$1:$L$78</definedName>
    <definedName name="_xlnm.Print_Area" localSheetId="4">'Market to Book Ratios'!$A$1:$G$64</definedName>
    <definedName name="_xlnm.Print_Area" localSheetId="18">Multiples!$A$1:$H$45</definedName>
    <definedName name="_xlnm.Print_Area" localSheetId="3">'S&amp;D'!$A$1:$L$78</definedName>
    <definedName name="_xlnm.Print_Area" localSheetId="16">'Single Stage Div Growth Model'!$A$1:$K$49</definedName>
    <definedName name="_xlnm.Print_Area" localSheetId="17">'Two-Stage Div Growth Model'!$A$1:$I$47</definedName>
    <definedName name="_xlnm.Print_Area" localSheetId="1">'Yield CapRate'!$A$1:$H$35</definedName>
    <definedName name="_xlnm.Print_Area" localSheetId="10">'Yield Debt'!$A$1:$M$64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3" i="24" l="1"/>
  <c r="E90" i="24"/>
  <c r="D90" i="24"/>
  <c r="F90" i="24" s="1"/>
  <c r="E89" i="24"/>
  <c r="F86" i="24"/>
  <c r="D86" i="24"/>
  <c r="D85" i="24"/>
  <c r="F85" i="24" s="1"/>
  <c r="F84" i="24"/>
  <c r="D84" i="24"/>
  <c r="D83" i="24"/>
  <c r="F83" i="24" s="1"/>
  <c r="F82" i="24"/>
  <c r="D82" i="24"/>
  <c r="D81" i="24"/>
  <c r="F81" i="24" s="1"/>
  <c r="F80" i="24"/>
  <c r="D80" i="24"/>
  <c r="D79" i="24"/>
  <c r="F79" i="24" s="1"/>
  <c r="D89" i="24" l="1"/>
  <c r="F89" i="24" s="1"/>
  <c r="D15" i="10" l="1"/>
  <c r="D32" i="33"/>
  <c r="D18" i="33"/>
  <c r="A46" i="34"/>
  <c r="F46" i="34"/>
  <c r="E46" i="34"/>
  <c r="C46" i="34"/>
  <c r="D46" i="34" s="1"/>
  <c r="G46" i="34" s="1"/>
  <c r="B46" i="34"/>
  <c r="C20" i="34"/>
  <c r="D20" i="34"/>
  <c r="F20" i="34" s="1"/>
  <c r="F58" i="34"/>
  <c r="B58" i="34"/>
  <c r="F48" i="34"/>
  <c r="B48" i="34"/>
  <c r="E48" i="34" s="1"/>
  <c r="B47" i="34"/>
  <c r="F47" i="34"/>
  <c r="A6" i="25"/>
  <c r="A6" i="20"/>
  <c r="A6" i="19"/>
  <c r="A6" i="34"/>
  <c r="A6" i="33"/>
  <c r="A7" i="24"/>
  <c r="A6" i="12"/>
  <c r="A6" i="5"/>
  <c r="A6" i="8"/>
  <c r="A6" i="13"/>
  <c r="A6" i="27"/>
  <c r="A6" i="17"/>
  <c r="A8" i="14"/>
  <c r="A8" i="11"/>
  <c r="A9" i="29"/>
  <c r="A16" i="6"/>
  <c r="D16" i="7"/>
  <c r="D48" i="10"/>
  <c r="C16" i="34"/>
  <c r="C42" i="34" s="1"/>
  <c r="F61" i="34"/>
  <c r="B61" i="34"/>
  <c r="E61" i="34" s="1"/>
  <c r="F59" i="34"/>
  <c r="B59" i="34"/>
  <c r="E59" i="34" s="1"/>
  <c r="F57" i="34"/>
  <c r="B57" i="34"/>
  <c r="E57" i="34" s="1"/>
  <c r="F55" i="34"/>
  <c r="B55" i="34"/>
  <c r="E55" i="34" s="1"/>
  <c r="F54" i="34"/>
  <c r="B54" i="34"/>
  <c r="E54" i="34" s="1"/>
  <c r="F52" i="34"/>
  <c r="B52" i="34"/>
  <c r="E52" i="34" s="1"/>
  <c r="F50" i="34"/>
  <c r="B50" i="34"/>
  <c r="E50" i="34" s="1"/>
  <c r="F45" i="34"/>
  <c r="B45" i="34"/>
  <c r="E45" i="34" s="1"/>
  <c r="F43" i="34"/>
  <c r="B43" i="34"/>
  <c r="E43" i="34" s="1"/>
  <c r="F42" i="34"/>
  <c r="B42" i="34"/>
  <c r="E42" i="34" s="1"/>
  <c r="C21" i="34" l="1"/>
  <c r="C22" i="34"/>
  <c r="E58" i="34"/>
  <c r="E47" i="34"/>
  <c r="D42" i="34"/>
  <c r="G42" i="34" s="1"/>
  <c r="D29" i="33" s="1"/>
  <c r="D16" i="34"/>
  <c r="F16" i="34" s="1"/>
  <c r="C24" i="34"/>
  <c r="C19" i="34"/>
  <c r="C29" i="34"/>
  <c r="C26" i="34"/>
  <c r="C33" i="34"/>
  <c r="C59" i="34" s="1"/>
  <c r="C31" i="34"/>
  <c r="C17" i="34"/>
  <c r="C32" i="34" s="1"/>
  <c r="C28" i="34"/>
  <c r="C35" i="34"/>
  <c r="D32" i="34" l="1"/>
  <c r="F32" i="34" s="1"/>
  <c r="D26" i="33" s="1"/>
  <c r="C58" i="34"/>
  <c r="D58" i="34" s="1"/>
  <c r="G58" i="34"/>
  <c r="D40" i="33" s="1"/>
  <c r="D35" i="34"/>
  <c r="F35" i="34" s="1"/>
  <c r="D28" i="33" s="1"/>
  <c r="C61" i="34"/>
  <c r="D22" i="34"/>
  <c r="F22" i="34" s="1"/>
  <c r="D20" i="33" s="1"/>
  <c r="C48" i="34"/>
  <c r="D48" i="34" s="1"/>
  <c r="G48" i="34" s="1"/>
  <c r="D34" i="33" s="1"/>
  <c r="C47" i="34"/>
  <c r="D47" i="34" s="1"/>
  <c r="G47" i="34" s="1"/>
  <c r="D33" i="33" s="1"/>
  <c r="D21" i="34"/>
  <c r="F21" i="34" s="1"/>
  <c r="D19" i="33" s="1"/>
  <c r="C43" i="34"/>
  <c r="D43" i="34" s="1"/>
  <c r="G43" i="34" s="1"/>
  <c r="D30" i="33" s="1"/>
  <c r="D17" i="34"/>
  <c r="F17" i="34" s="1"/>
  <c r="C57" i="34"/>
  <c r="D57" i="34" s="1"/>
  <c r="G57" i="34" s="1"/>
  <c r="D39" i="33" s="1"/>
  <c r="D31" i="34"/>
  <c r="F31" i="34" s="1"/>
  <c r="D25" i="33" s="1"/>
  <c r="D59" i="34"/>
  <c r="G59" i="34" s="1"/>
  <c r="D41" i="33" s="1"/>
  <c r="C55" i="34"/>
  <c r="D55" i="34" s="1"/>
  <c r="G55" i="34" s="1"/>
  <c r="D38" i="33" s="1"/>
  <c r="D29" i="34"/>
  <c r="F29" i="34" s="1"/>
  <c r="D61" i="34"/>
  <c r="G61" i="34" s="1"/>
  <c r="D42" i="33" s="1"/>
  <c r="D33" i="34"/>
  <c r="F33" i="34" s="1"/>
  <c r="D27" i="33" s="1"/>
  <c r="C45" i="34"/>
  <c r="D45" i="34" s="1"/>
  <c r="G45" i="34" s="1"/>
  <c r="D31" i="33" s="1"/>
  <c r="D19" i="34"/>
  <c r="F19" i="34" s="1"/>
  <c r="C54" i="34"/>
  <c r="D54" i="34" s="1"/>
  <c r="G54" i="34" s="1"/>
  <c r="D37" i="33" s="1"/>
  <c r="D28" i="34"/>
  <c r="F28" i="34" s="1"/>
  <c r="C52" i="34"/>
  <c r="D52" i="34" s="1"/>
  <c r="G52" i="34" s="1"/>
  <c r="D36" i="33" s="1"/>
  <c r="D26" i="34"/>
  <c r="F26" i="34" s="1"/>
  <c r="D24" i="34"/>
  <c r="F24" i="34" s="1"/>
  <c r="C50" i="34"/>
  <c r="D50" i="34" s="1"/>
  <c r="G50" i="34" s="1"/>
  <c r="D35" i="33" s="1"/>
  <c r="J29" i="8" l="1"/>
  <c r="J28" i="8"/>
  <c r="K19" i="17"/>
  <c r="D23" i="7"/>
  <c r="D46" i="33"/>
  <c r="D45" i="33"/>
  <c r="D44" i="33"/>
  <c r="D43" i="33"/>
  <c r="D23" i="33" l="1"/>
  <c r="D15" i="33"/>
  <c r="D21" i="33" l="1"/>
  <c r="D22" i="33"/>
  <c r="D16" i="33"/>
  <c r="D17" i="33"/>
  <c r="D24" i="33"/>
  <c r="D52" i="33" l="1"/>
  <c r="D50" i="33"/>
  <c r="D51" i="33"/>
  <c r="C26" i="13"/>
  <c r="C20" i="13"/>
  <c r="E27" i="11" l="1"/>
  <c r="D27" i="11"/>
  <c r="G27" i="11"/>
  <c r="G21" i="11"/>
  <c r="E21" i="11"/>
  <c r="D21" i="11"/>
  <c r="E25" i="11"/>
  <c r="D25" i="11"/>
  <c r="E23" i="29"/>
  <c r="E47" i="3" l="1"/>
  <c r="E45" i="3"/>
  <c r="E44" i="3"/>
  <c r="E43" i="3"/>
  <c r="E42" i="3"/>
  <c r="E41" i="3"/>
  <c r="E40" i="3"/>
  <c r="G45" i="3"/>
  <c r="G42" i="3"/>
  <c r="G41" i="3"/>
  <c r="E29" i="29"/>
  <c r="E22" i="29"/>
  <c r="C30" i="29"/>
  <c r="C50" i="29" s="1"/>
  <c r="B30" i="29"/>
  <c r="B50" i="29" s="1"/>
  <c r="A30" i="29"/>
  <c r="A50" i="29" s="1"/>
  <c r="F47" i="3"/>
  <c r="F46" i="3"/>
  <c r="F45" i="3"/>
  <c r="F44" i="3"/>
  <c r="F41" i="3"/>
  <c r="F40" i="3"/>
  <c r="F39" i="3"/>
  <c r="J30" i="3"/>
  <c r="E50" i="29" s="1"/>
  <c r="H30" i="3"/>
  <c r="F30" i="3"/>
  <c r="J29" i="3"/>
  <c r="G46" i="3" s="1"/>
  <c r="I29" i="3"/>
  <c r="E46" i="3" s="1"/>
  <c r="F29" i="3"/>
  <c r="J28" i="3"/>
  <c r="H28" i="3"/>
  <c r="F28" i="3"/>
  <c r="J27" i="3"/>
  <c r="G44" i="3" s="1"/>
  <c r="F27" i="3"/>
  <c r="J26" i="3"/>
  <c r="G43" i="3" s="1"/>
  <c r="F26" i="3"/>
  <c r="F25" i="3"/>
  <c r="J24" i="3"/>
  <c r="F24" i="3"/>
  <c r="J23" i="3"/>
  <c r="G40" i="3" s="1"/>
  <c r="I23" i="3"/>
  <c r="F23" i="3"/>
  <c r="J22" i="3"/>
  <c r="G39" i="3" s="1"/>
  <c r="I22" i="3"/>
  <c r="E39" i="3" s="1"/>
  <c r="F22" i="3"/>
  <c r="G47" i="3" l="1"/>
  <c r="D50" i="29" s="1"/>
  <c r="F50" i="29"/>
  <c r="C28" i="11"/>
  <c r="C27" i="11"/>
  <c r="C26" i="11"/>
  <c r="C25" i="11"/>
  <c r="C24" i="11"/>
  <c r="C23" i="11"/>
  <c r="C22" i="11"/>
  <c r="C21" i="11"/>
  <c r="C20" i="11"/>
  <c r="G24" i="24"/>
  <c r="E21" i="20"/>
  <c r="F28" i="20" l="1"/>
  <c r="F24" i="20"/>
  <c r="F29" i="20"/>
  <c r="F27" i="20"/>
  <c r="F23" i="20"/>
  <c r="F25" i="20"/>
  <c r="F26" i="20"/>
  <c r="F22" i="20"/>
  <c r="F21" i="20"/>
  <c r="A48" i="12"/>
  <c r="C48" i="12"/>
  <c r="D48" i="12"/>
  <c r="E48" i="12"/>
  <c r="A49" i="12"/>
  <c r="C49" i="12"/>
  <c r="D49" i="12"/>
  <c r="A50" i="12"/>
  <c r="C50" i="12"/>
  <c r="D50" i="12"/>
  <c r="A51" i="12"/>
  <c r="C51" i="12"/>
  <c r="D51" i="12"/>
  <c r="A52" i="12"/>
  <c r="C52" i="12"/>
  <c r="D52" i="12"/>
  <c r="A53" i="12"/>
  <c r="C53" i="12"/>
  <c r="D53" i="12"/>
  <c r="A54" i="12"/>
  <c r="C54" i="12"/>
  <c r="D54" i="12"/>
  <c r="A55" i="12"/>
  <c r="C55" i="12"/>
  <c r="D55" i="12"/>
  <c r="A56" i="12"/>
  <c r="C56" i="12"/>
  <c r="D56" i="12"/>
  <c r="E61" i="12" l="1"/>
  <c r="E60" i="12"/>
  <c r="F56" i="12"/>
  <c r="G56" i="12" s="1"/>
  <c r="F55" i="12"/>
  <c r="G55" i="12" s="1"/>
  <c r="F54" i="12"/>
  <c r="G54" i="12" s="1"/>
  <c r="F53" i="12"/>
  <c r="G53" i="12" s="1"/>
  <c r="F52" i="12"/>
  <c r="G52" i="12" s="1"/>
  <c r="F51" i="12"/>
  <c r="G51" i="12" s="1"/>
  <c r="F50" i="12"/>
  <c r="G50" i="12" s="1"/>
  <c r="F49" i="12"/>
  <c r="G49" i="12" s="1"/>
  <c r="F48" i="12"/>
  <c r="G48" i="12" s="1"/>
  <c r="K16" i="12"/>
  <c r="E16" i="12"/>
  <c r="F61" i="12" l="1"/>
  <c r="F60" i="12"/>
  <c r="G61" i="12"/>
  <c r="G60" i="12"/>
  <c r="D43" i="3" l="1"/>
  <c r="H43" i="3" s="1"/>
  <c r="D21" i="25"/>
  <c r="C21" i="25"/>
  <c r="B21" i="25"/>
  <c r="D20" i="25"/>
  <c r="C20" i="25"/>
  <c r="B20" i="25"/>
  <c r="D19" i="25"/>
  <c r="C19" i="25"/>
  <c r="B19" i="25"/>
  <c r="D18" i="25"/>
  <c r="C18" i="25"/>
  <c r="B18" i="25"/>
  <c r="D17" i="25"/>
  <c r="C17" i="25"/>
  <c r="B17" i="25"/>
  <c r="E26" i="20"/>
  <c r="C26" i="20"/>
  <c r="B26" i="20"/>
  <c r="A26" i="20"/>
  <c r="E25" i="20"/>
  <c r="C25" i="20"/>
  <c r="B25" i="20"/>
  <c r="A25" i="20"/>
  <c r="E24" i="20"/>
  <c r="C24" i="20"/>
  <c r="B24" i="20"/>
  <c r="A24" i="20"/>
  <c r="E23" i="20"/>
  <c r="C23" i="20"/>
  <c r="B23" i="20"/>
  <c r="A23" i="20"/>
  <c r="E22" i="20"/>
  <c r="C22" i="20"/>
  <c r="B22" i="20"/>
  <c r="A22" i="20"/>
  <c r="D22" i="19"/>
  <c r="C22" i="19"/>
  <c r="B22" i="19"/>
  <c r="A22" i="19"/>
  <c r="D21" i="19"/>
  <c r="C21" i="19"/>
  <c r="B21" i="19"/>
  <c r="A21" i="19"/>
  <c r="D20" i="19"/>
  <c r="C20" i="19"/>
  <c r="B20" i="19"/>
  <c r="A20" i="19"/>
  <c r="D19" i="19"/>
  <c r="C19" i="19"/>
  <c r="B19" i="19"/>
  <c r="A19" i="19"/>
  <c r="D18" i="19"/>
  <c r="C18" i="19"/>
  <c r="B18" i="19"/>
  <c r="A18" i="19"/>
  <c r="D21" i="12"/>
  <c r="J21" i="12" s="1"/>
  <c r="L21" i="12" s="1"/>
  <c r="M21" i="12" s="1"/>
  <c r="C21" i="12"/>
  <c r="I21" i="12" s="1"/>
  <c r="A21" i="12"/>
  <c r="D20" i="12"/>
  <c r="J20" i="12" s="1"/>
  <c r="L20" i="12" s="1"/>
  <c r="M20" i="12" s="1"/>
  <c r="C20" i="12"/>
  <c r="I20" i="12" s="1"/>
  <c r="A20" i="12"/>
  <c r="D19" i="12"/>
  <c r="J19" i="12" s="1"/>
  <c r="L19" i="12" s="1"/>
  <c r="M19" i="12" s="1"/>
  <c r="C19" i="12"/>
  <c r="I19" i="12" s="1"/>
  <c r="A19" i="12"/>
  <c r="D18" i="12"/>
  <c r="F18" i="12" s="1"/>
  <c r="G18" i="12" s="1"/>
  <c r="C18" i="12"/>
  <c r="I18" i="12" s="1"/>
  <c r="A18" i="12"/>
  <c r="D17" i="12"/>
  <c r="J17" i="12" s="1"/>
  <c r="L17" i="12" s="1"/>
  <c r="M17" i="12" s="1"/>
  <c r="C17" i="12"/>
  <c r="I17" i="12" s="1"/>
  <c r="A17" i="12"/>
  <c r="C22" i="5"/>
  <c r="E22" i="5" s="1"/>
  <c r="F22" i="5" s="1"/>
  <c r="B22" i="5"/>
  <c r="H22" i="5" s="1"/>
  <c r="A22" i="5"/>
  <c r="C21" i="5"/>
  <c r="E21" i="5" s="1"/>
  <c r="F21" i="5" s="1"/>
  <c r="B21" i="5"/>
  <c r="H21" i="5" s="1"/>
  <c r="A21" i="5"/>
  <c r="C20" i="5"/>
  <c r="I20" i="5" s="1"/>
  <c r="L20" i="5" s="1"/>
  <c r="M20" i="5" s="1"/>
  <c r="B20" i="5"/>
  <c r="H20" i="5" s="1"/>
  <c r="A20" i="5"/>
  <c r="C19" i="5"/>
  <c r="I19" i="5" s="1"/>
  <c r="L19" i="5" s="1"/>
  <c r="M19" i="5" s="1"/>
  <c r="B19" i="5"/>
  <c r="H19" i="5" s="1"/>
  <c r="A19" i="5"/>
  <c r="C18" i="5"/>
  <c r="E18" i="5" s="1"/>
  <c r="F18" i="5" s="1"/>
  <c r="B18" i="5"/>
  <c r="H18" i="5" s="1"/>
  <c r="A18" i="5"/>
  <c r="E20" i="8"/>
  <c r="D20" i="8"/>
  <c r="C20" i="8"/>
  <c r="B20" i="8"/>
  <c r="A20" i="8"/>
  <c r="E19" i="8"/>
  <c r="D19" i="8"/>
  <c r="C19" i="8"/>
  <c r="B19" i="8"/>
  <c r="A19" i="8"/>
  <c r="E18" i="8"/>
  <c r="D18" i="8"/>
  <c r="C18" i="8"/>
  <c r="B18" i="8"/>
  <c r="A18" i="8"/>
  <c r="E17" i="8"/>
  <c r="D17" i="8"/>
  <c r="C17" i="8"/>
  <c r="B17" i="8"/>
  <c r="A17" i="8"/>
  <c r="E16" i="8"/>
  <c r="D16" i="8"/>
  <c r="C16" i="8"/>
  <c r="B16" i="8"/>
  <c r="A16" i="8"/>
  <c r="B24" i="13"/>
  <c r="A24" i="13"/>
  <c r="B23" i="13"/>
  <c r="A23" i="13"/>
  <c r="B22" i="13"/>
  <c r="A22" i="13"/>
  <c r="B21" i="13"/>
  <c r="A21" i="13"/>
  <c r="B20" i="13"/>
  <c r="A20" i="13"/>
  <c r="K21" i="27"/>
  <c r="D21" i="27"/>
  <c r="J21" i="27" s="1"/>
  <c r="C21" i="27"/>
  <c r="B21" i="27"/>
  <c r="A21" i="27"/>
  <c r="K20" i="27"/>
  <c r="D20" i="27"/>
  <c r="J20" i="27" s="1"/>
  <c r="C20" i="27"/>
  <c r="B20" i="27"/>
  <c r="A20" i="27"/>
  <c r="K19" i="27"/>
  <c r="D19" i="27"/>
  <c r="J19" i="27" s="1"/>
  <c r="C19" i="27"/>
  <c r="B19" i="27"/>
  <c r="A19" i="27"/>
  <c r="K18" i="27"/>
  <c r="D18" i="27"/>
  <c r="J18" i="27" s="1"/>
  <c r="C18" i="27"/>
  <c r="B18" i="27"/>
  <c r="A18" i="27"/>
  <c r="K17" i="27"/>
  <c r="D17" i="27"/>
  <c r="J17" i="27" s="1"/>
  <c r="C17" i="27"/>
  <c r="B17" i="27"/>
  <c r="A17" i="27"/>
  <c r="K21" i="17"/>
  <c r="D21" i="17"/>
  <c r="J21" i="17" s="1"/>
  <c r="C21" i="17"/>
  <c r="B21" i="17"/>
  <c r="A21" i="17"/>
  <c r="K20" i="17"/>
  <c r="D20" i="17"/>
  <c r="J20" i="17" s="1"/>
  <c r="C20" i="17"/>
  <c r="B20" i="17"/>
  <c r="A20" i="17"/>
  <c r="D19" i="17"/>
  <c r="J19" i="17" s="1"/>
  <c r="C19" i="17"/>
  <c r="B19" i="17"/>
  <c r="A19" i="17"/>
  <c r="K18" i="17"/>
  <c r="D18" i="17"/>
  <c r="J18" i="17" s="1"/>
  <c r="C18" i="17"/>
  <c r="B18" i="17"/>
  <c r="A18" i="17"/>
  <c r="K17" i="17"/>
  <c r="D17" i="17"/>
  <c r="J17" i="17" s="1"/>
  <c r="C17" i="17"/>
  <c r="B17" i="17"/>
  <c r="A17" i="17"/>
  <c r="C23" i="14"/>
  <c r="B23" i="14"/>
  <c r="A23" i="14"/>
  <c r="C22" i="14"/>
  <c r="B22" i="14"/>
  <c r="A22" i="14"/>
  <c r="C21" i="14"/>
  <c r="B21" i="14"/>
  <c r="A21" i="14"/>
  <c r="C20" i="14"/>
  <c r="B20" i="14"/>
  <c r="A20" i="14"/>
  <c r="C19" i="14"/>
  <c r="B19" i="14"/>
  <c r="A19" i="14"/>
  <c r="F25" i="11"/>
  <c r="H25" i="11" s="1"/>
  <c r="I25" i="11" s="1"/>
  <c r="B25" i="11"/>
  <c r="A25" i="11"/>
  <c r="F24" i="11"/>
  <c r="H24" i="11" s="1"/>
  <c r="B24" i="11"/>
  <c r="A24" i="11"/>
  <c r="F23" i="11"/>
  <c r="H23" i="11" s="1"/>
  <c r="J23" i="11" s="1"/>
  <c r="B23" i="11"/>
  <c r="A23" i="11"/>
  <c r="F22" i="11"/>
  <c r="H22" i="11" s="1"/>
  <c r="B22" i="11"/>
  <c r="A22" i="11"/>
  <c r="F21" i="11"/>
  <c r="H21" i="11" s="1"/>
  <c r="B21" i="11"/>
  <c r="A21" i="11"/>
  <c r="C29" i="29"/>
  <c r="B29" i="29"/>
  <c r="A29" i="29"/>
  <c r="C28" i="29"/>
  <c r="B28" i="29"/>
  <c r="A28" i="29"/>
  <c r="C27" i="29"/>
  <c r="C47" i="29" s="1"/>
  <c r="B27" i="29"/>
  <c r="B47" i="29" s="1"/>
  <c r="A27" i="29"/>
  <c r="A47" i="29" s="1"/>
  <c r="C26" i="29"/>
  <c r="C46" i="29" s="1"/>
  <c r="B26" i="29"/>
  <c r="B46" i="29" s="1"/>
  <c r="A26" i="29"/>
  <c r="A46" i="29" s="1"/>
  <c r="C25" i="29"/>
  <c r="C45" i="29" s="1"/>
  <c r="B25" i="29"/>
  <c r="B45" i="29" s="1"/>
  <c r="A25" i="29"/>
  <c r="A45" i="29" s="1"/>
  <c r="C24" i="29"/>
  <c r="C44" i="29" s="1"/>
  <c r="B24" i="29"/>
  <c r="B44" i="29" s="1"/>
  <c r="A24" i="29"/>
  <c r="A44" i="29" s="1"/>
  <c r="C23" i="29"/>
  <c r="C43" i="29" s="1"/>
  <c r="B23" i="29"/>
  <c r="B43" i="29" s="1"/>
  <c r="A23" i="29"/>
  <c r="A43" i="29" s="1"/>
  <c r="D44" i="3"/>
  <c r="D42" i="3"/>
  <c r="D41" i="3"/>
  <c r="D40" i="3"/>
  <c r="H40" i="3" s="1"/>
  <c r="G24" i="13"/>
  <c r="G23" i="13"/>
  <c r="E45" i="29"/>
  <c r="E44" i="29"/>
  <c r="C47" i="3"/>
  <c r="B47" i="3"/>
  <c r="A47" i="3"/>
  <c r="C46" i="3"/>
  <c r="B46" i="3"/>
  <c r="A46" i="3"/>
  <c r="C45" i="3"/>
  <c r="B45" i="3"/>
  <c r="A45" i="3"/>
  <c r="C44" i="3"/>
  <c r="B44" i="3"/>
  <c r="A44" i="3"/>
  <c r="C43" i="3"/>
  <c r="B43" i="3"/>
  <c r="A43" i="3"/>
  <c r="C42" i="3"/>
  <c r="B42" i="3"/>
  <c r="A42" i="3"/>
  <c r="C41" i="3"/>
  <c r="B41" i="3"/>
  <c r="A41" i="3"/>
  <c r="C40" i="3"/>
  <c r="B40" i="3"/>
  <c r="A40" i="3"/>
  <c r="E19" i="19" l="1"/>
  <c r="H41" i="3"/>
  <c r="E20" i="19"/>
  <c r="H42" i="3"/>
  <c r="D27" i="29"/>
  <c r="F27" i="29" s="1"/>
  <c r="H44" i="3"/>
  <c r="F19" i="25"/>
  <c r="H19" i="25"/>
  <c r="F18" i="25"/>
  <c r="H18" i="25"/>
  <c r="F17" i="25"/>
  <c r="H17" i="25"/>
  <c r="F21" i="25"/>
  <c r="H21" i="25"/>
  <c r="F20" i="25"/>
  <c r="H20" i="25"/>
  <c r="J24" i="11"/>
  <c r="I23" i="11"/>
  <c r="K23" i="11" s="1"/>
  <c r="L23" i="11" s="1"/>
  <c r="I21" i="11"/>
  <c r="J25" i="11"/>
  <c r="K25" i="11" s="1"/>
  <c r="L25" i="11" s="1"/>
  <c r="F19" i="17"/>
  <c r="E46" i="29"/>
  <c r="G21" i="13"/>
  <c r="F20" i="13"/>
  <c r="H20" i="13" s="1"/>
  <c r="I20" i="13" s="1"/>
  <c r="D43" i="29"/>
  <c r="E47" i="29"/>
  <c r="F20" i="27"/>
  <c r="F18" i="17"/>
  <c r="F20" i="17"/>
  <c r="F18" i="27"/>
  <c r="G20" i="13"/>
  <c r="I42" i="3"/>
  <c r="E43" i="29"/>
  <c r="G22" i="13"/>
  <c r="I43" i="3"/>
  <c r="F21" i="27"/>
  <c r="F19" i="12"/>
  <c r="G19" i="12" s="1"/>
  <c r="E19" i="5"/>
  <c r="F19" i="5" s="1"/>
  <c r="F17" i="27"/>
  <c r="F21" i="17"/>
  <c r="F21" i="12"/>
  <c r="G21" i="12" s="1"/>
  <c r="F19" i="27"/>
  <c r="E20" i="5"/>
  <c r="F20" i="5" s="1"/>
  <c r="F17" i="17"/>
  <c r="F17" i="12"/>
  <c r="G17" i="12" s="1"/>
  <c r="E21" i="19"/>
  <c r="D26" i="29"/>
  <c r="F26" i="29" s="1"/>
  <c r="D23" i="29"/>
  <c r="F23" i="29" s="1"/>
  <c r="D24" i="29"/>
  <c r="F24" i="29" s="1"/>
  <c r="D25" i="29"/>
  <c r="F25" i="29" s="1"/>
  <c r="E18" i="19"/>
  <c r="E22" i="19"/>
  <c r="F20" i="12"/>
  <c r="G20" i="12" s="1"/>
  <c r="J18" i="12"/>
  <c r="L18" i="12" s="1"/>
  <c r="M18" i="12" s="1"/>
  <c r="I21" i="5"/>
  <c r="L21" i="5" s="1"/>
  <c r="M21" i="5" s="1"/>
  <c r="I18" i="5"/>
  <c r="L18" i="5" s="1"/>
  <c r="M18" i="5" s="1"/>
  <c r="I22" i="5"/>
  <c r="L22" i="5" s="1"/>
  <c r="M22" i="5" s="1"/>
  <c r="H17" i="27"/>
  <c r="H18" i="27"/>
  <c r="H19" i="27"/>
  <c r="H20" i="27"/>
  <c r="H21" i="27"/>
  <c r="H17" i="17"/>
  <c r="H18" i="17"/>
  <c r="H19" i="17"/>
  <c r="H20" i="17"/>
  <c r="H21" i="17"/>
  <c r="J21" i="11"/>
  <c r="I22" i="11"/>
  <c r="I24" i="11"/>
  <c r="J22" i="11"/>
  <c r="I40" i="3"/>
  <c r="D25" i="20" l="1"/>
  <c r="F21" i="19"/>
  <c r="J21" i="19" s="1"/>
  <c r="F20" i="19"/>
  <c r="J20" i="19" s="1"/>
  <c r="D24" i="20"/>
  <c r="D23" i="20"/>
  <c r="F19" i="19"/>
  <c r="J19" i="19" s="1"/>
  <c r="D26" i="20"/>
  <c r="F22" i="19"/>
  <c r="D22" i="20"/>
  <c r="F18" i="19"/>
  <c r="K24" i="11"/>
  <c r="L24" i="11" s="1"/>
  <c r="K21" i="11"/>
  <c r="L21" i="11" s="1"/>
  <c r="K22" i="11"/>
  <c r="L22" i="11" s="1"/>
  <c r="D45" i="29"/>
  <c r="F45" i="29" s="1"/>
  <c r="F22" i="13"/>
  <c r="F21" i="13"/>
  <c r="D44" i="29"/>
  <c r="F44" i="29" s="1"/>
  <c r="J20" i="13"/>
  <c r="D46" i="29"/>
  <c r="F46" i="29" s="1"/>
  <c r="F23" i="13"/>
  <c r="F24" i="13"/>
  <c r="D47" i="29"/>
  <c r="F47" i="29" s="1"/>
  <c r="I44" i="3"/>
  <c r="F43" i="29"/>
  <c r="J43" i="3"/>
  <c r="J40" i="3"/>
  <c r="J42" i="3"/>
  <c r="I20" i="19" l="1"/>
  <c r="I19" i="19"/>
  <c r="I21" i="19"/>
  <c r="J21" i="13"/>
  <c r="H21" i="13"/>
  <c r="I21" i="13" s="1"/>
  <c r="J44" i="3"/>
  <c r="I41" i="3"/>
  <c r="J41" i="3"/>
  <c r="J24" i="13"/>
  <c r="H24" i="13"/>
  <c r="I24" i="13" s="1"/>
  <c r="J22" i="13"/>
  <c r="H22" i="13"/>
  <c r="I22" i="13" s="1"/>
  <c r="I29" i="13" s="1"/>
  <c r="H23" i="13"/>
  <c r="I23" i="13" s="1"/>
  <c r="J23" i="13"/>
  <c r="J22" i="19"/>
  <c r="I22" i="19"/>
  <c r="J18" i="19"/>
  <c r="I18" i="19"/>
  <c r="G29" i="8"/>
  <c r="G28" i="8"/>
  <c r="G27" i="8"/>
  <c r="E29" i="20" l="1"/>
  <c r="E28" i="20"/>
  <c r="E27" i="20"/>
  <c r="G25" i="13" l="1"/>
  <c r="G19" i="13"/>
  <c r="G26" i="13"/>
  <c r="G27" i="13"/>
  <c r="D46" i="3"/>
  <c r="D29" i="29" s="1"/>
  <c r="F29" i="29" s="1"/>
  <c r="F27" i="13" l="1"/>
  <c r="F26" i="13"/>
  <c r="F25" i="13"/>
  <c r="F19" i="13"/>
  <c r="A20" i="11"/>
  <c r="D24" i="27" l="1"/>
  <c r="D23" i="27"/>
  <c r="D22" i="27"/>
  <c r="H22" i="27" s="1"/>
  <c r="C29" i="20"/>
  <c r="B29" i="20"/>
  <c r="A29" i="20"/>
  <c r="C28" i="20"/>
  <c r="B28" i="20"/>
  <c r="A28" i="20"/>
  <c r="C27" i="20"/>
  <c r="B27" i="20"/>
  <c r="A27" i="20"/>
  <c r="C21" i="20"/>
  <c r="B21" i="20"/>
  <c r="A21" i="20"/>
  <c r="D24" i="17"/>
  <c r="D23" i="17"/>
  <c r="D22" i="17"/>
  <c r="H22" i="17" s="1"/>
  <c r="E24" i="19"/>
  <c r="D25" i="19"/>
  <c r="D24" i="19"/>
  <c r="D23" i="19"/>
  <c r="C25" i="19"/>
  <c r="B25" i="19"/>
  <c r="A25" i="19"/>
  <c r="C24" i="19"/>
  <c r="B24" i="19"/>
  <c r="A24" i="19"/>
  <c r="C23" i="19"/>
  <c r="B23" i="19"/>
  <c r="A23" i="19"/>
  <c r="C17" i="19"/>
  <c r="B17" i="19"/>
  <c r="A17" i="19"/>
  <c r="A24" i="12"/>
  <c r="A23" i="12"/>
  <c r="A22" i="12"/>
  <c r="C24" i="12"/>
  <c r="I24" i="12" s="1"/>
  <c r="C23" i="12"/>
  <c r="I23" i="12" s="1"/>
  <c r="C22" i="12"/>
  <c r="I22" i="12" s="1"/>
  <c r="C16" i="12"/>
  <c r="I16" i="12" s="1"/>
  <c r="D24" i="12"/>
  <c r="D23" i="12"/>
  <c r="D22" i="12"/>
  <c r="A16" i="12"/>
  <c r="C25" i="5"/>
  <c r="B25" i="5"/>
  <c r="H25" i="5" s="1"/>
  <c r="A25" i="5"/>
  <c r="C24" i="5"/>
  <c r="B24" i="5"/>
  <c r="H24" i="5" s="1"/>
  <c r="A24" i="5"/>
  <c r="C23" i="5"/>
  <c r="B23" i="5"/>
  <c r="H23" i="5" s="1"/>
  <c r="A23" i="5"/>
  <c r="B17" i="5"/>
  <c r="H17" i="5" s="1"/>
  <c r="A17" i="5"/>
  <c r="D23" i="8"/>
  <c r="D22" i="8"/>
  <c r="D21" i="8"/>
  <c r="D15" i="8"/>
  <c r="F23" i="19" l="1"/>
  <c r="D27" i="20"/>
  <c r="D24" i="25"/>
  <c r="H24" i="25" s="1"/>
  <c r="D23" i="25"/>
  <c r="H23" i="25" s="1"/>
  <c r="D22" i="25"/>
  <c r="H22" i="25" s="1"/>
  <c r="C24" i="25"/>
  <c r="B24" i="25"/>
  <c r="C23" i="25"/>
  <c r="B23" i="25"/>
  <c r="C22" i="25"/>
  <c r="B22" i="25"/>
  <c r="C16" i="25"/>
  <c r="B16" i="25"/>
  <c r="C23" i="8"/>
  <c r="B23" i="8"/>
  <c r="A23" i="8"/>
  <c r="C22" i="8"/>
  <c r="B22" i="8"/>
  <c r="A22" i="8"/>
  <c r="A21" i="8"/>
  <c r="B21" i="8"/>
  <c r="C21" i="8"/>
  <c r="C15" i="8"/>
  <c r="B15" i="8"/>
  <c r="A15" i="8"/>
  <c r="B27" i="13"/>
  <c r="A27" i="13"/>
  <c r="B26" i="13"/>
  <c r="A26" i="13"/>
  <c r="B25" i="13"/>
  <c r="A25" i="13"/>
  <c r="B19" i="13"/>
  <c r="A19" i="13"/>
  <c r="C24" i="27"/>
  <c r="B24" i="27"/>
  <c r="A24" i="27"/>
  <c r="C23" i="27"/>
  <c r="B23" i="27"/>
  <c r="A23" i="27"/>
  <c r="C22" i="27"/>
  <c r="B22" i="27"/>
  <c r="A22" i="27"/>
  <c r="C16" i="27"/>
  <c r="B16" i="27"/>
  <c r="A16" i="27"/>
  <c r="C24" i="17"/>
  <c r="B24" i="17"/>
  <c r="A24" i="17"/>
  <c r="C23" i="17"/>
  <c r="B23" i="17"/>
  <c r="A23" i="17"/>
  <c r="C22" i="17"/>
  <c r="B22" i="17"/>
  <c r="A22" i="17"/>
  <c r="C16" i="17"/>
  <c r="B16" i="17"/>
  <c r="A16" i="17"/>
  <c r="C26" i="14" l="1"/>
  <c r="B26" i="14"/>
  <c r="A26" i="14"/>
  <c r="C25" i="14"/>
  <c r="B25" i="14"/>
  <c r="A25" i="14"/>
  <c r="C24" i="14"/>
  <c r="B24" i="14"/>
  <c r="A24" i="14"/>
  <c r="C18" i="14"/>
  <c r="B18" i="14"/>
  <c r="A18" i="14"/>
  <c r="B27" i="11"/>
  <c r="A27" i="11"/>
  <c r="B26" i="11"/>
  <c r="A26" i="11"/>
  <c r="D49" i="29"/>
  <c r="E49" i="29"/>
  <c r="H46" i="3" l="1"/>
  <c r="I46" i="3" s="1"/>
  <c r="B28" i="11"/>
  <c r="A28" i="11"/>
  <c r="B20" i="11"/>
  <c r="C49" i="29"/>
  <c r="B49" i="29"/>
  <c r="A49" i="29"/>
  <c r="C48" i="29"/>
  <c r="B48" i="29"/>
  <c r="A48" i="29"/>
  <c r="C22" i="29"/>
  <c r="C42" i="29" s="1"/>
  <c r="B22" i="29"/>
  <c r="B42" i="29" s="1"/>
  <c r="A22" i="29"/>
  <c r="A42" i="29" s="1"/>
  <c r="J46" i="3" l="1"/>
  <c r="G64" i="10"/>
  <c r="K22" i="17"/>
  <c r="K16" i="17"/>
  <c r="B59" i="29"/>
  <c r="I29" i="27"/>
  <c r="G29" i="27"/>
  <c r="E29" i="27"/>
  <c r="I28" i="27"/>
  <c r="G28" i="27"/>
  <c r="E28" i="27"/>
  <c r="K24" i="27"/>
  <c r="J24" i="27"/>
  <c r="K23" i="27"/>
  <c r="F23" i="27"/>
  <c r="K22" i="27"/>
  <c r="K16" i="27"/>
  <c r="D16" i="27"/>
  <c r="J16" i="27" s="1"/>
  <c r="K24" i="17"/>
  <c r="K23" i="17"/>
  <c r="I29" i="8"/>
  <c r="A24" i="24" l="1"/>
  <c r="A15" i="24"/>
  <c r="G26" i="20"/>
  <c r="H26" i="20" s="1"/>
  <c r="G22" i="20"/>
  <c r="H22" i="20" s="1"/>
  <c r="G24" i="20"/>
  <c r="H24" i="20" s="1"/>
  <c r="G23" i="20"/>
  <c r="H23" i="20" s="1"/>
  <c r="G25" i="20"/>
  <c r="H25" i="20" s="1"/>
  <c r="F22" i="27"/>
  <c r="J22" i="27"/>
  <c r="H24" i="27"/>
  <c r="K29" i="27"/>
  <c r="D16" i="24" s="1"/>
  <c r="H23" i="27"/>
  <c r="K28" i="27"/>
  <c r="D15" i="24" s="1"/>
  <c r="F16" i="27"/>
  <c r="J23" i="27"/>
  <c r="F24" i="27"/>
  <c r="H16" i="27"/>
  <c r="K28" i="17"/>
  <c r="C15" i="24" s="1"/>
  <c r="K29" i="17"/>
  <c r="C16" i="24" s="1"/>
  <c r="J29" i="27" l="1"/>
  <c r="J28" i="27"/>
  <c r="F29" i="27"/>
  <c r="F28" i="27"/>
  <c r="H29" i="27"/>
  <c r="H28" i="27"/>
  <c r="I29" i="17" l="1"/>
  <c r="I28" i="17"/>
  <c r="H24" i="24" l="1"/>
  <c r="D58" i="10"/>
  <c r="G31" i="10" l="1"/>
  <c r="F23" i="25"/>
  <c r="D16" i="25"/>
  <c r="H16" i="25" s="1"/>
  <c r="D25" i="10"/>
  <c r="H29" i="25" l="1"/>
  <c r="H28" i="25"/>
  <c r="G28" i="20"/>
  <c r="G21" i="20"/>
  <c r="G27" i="20"/>
  <c r="G29" i="20"/>
  <c r="F22" i="25"/>
  <c r="F16" i="25"/>
  <c r="F24" i="25"/>
  <c r="H29" i="19"/>
  <c r="G29" i="19"/>
  <c r="H28" i="19"/>
  <c r="G28" i="19"/>
  <c r="D17" i="19"/>
  <c r="G29" i="17"/>
  <c r="G28" i="17"/>
  <c r="J24" i="17"/>
  <c r="J23" i="17"/>
  <c r="J22" i="17"/>
  <c r="D16" i="17"/>
  <c r="J16" i="17" s="1"/>
  <c r="E29" i="17"/>
  <c r="E28" i="17"/>
  <c r="I30" i="14"/>
  <c r="I29" i="14"/>
  <c r="I28" i="8"/>
  <c r="I27" i="8"/>
  <c r="F28" i="11"/>
  <c r="H28" i="11" s="1"/>
  <c r="F27" i="11"/>
  <c r="H27" i="11" s="1"/>
  <c r="F26" i="11"/>
  <c r="H26" i="11" s="1"/>
  <c r="F20" i="11"/>
  <c r="H20" i="11" s="1"/>
  <c r="E23" i="8"/>
  <c r="E22" i="8"/>
  <c r="E21" i="8"/>
  <c r="E15" i="8"/>
  <c r="I25" i="5"/>
  <c r="L25" i="5" s="1"/>
  <c r="I24" i="5"/>
  <c r="L24" i="5" s="1"/>
  <c r="I23" i="5"/>
  <c r="L23" i="5" s="1"/>
  <c r="C17" i="5"/>
  <c r="I17" i="5" s="1"/>
  <c r="L17" i="5" s="1"/>
  <c r="J35" i="12"/>
  <c r="D23" i="10" s="1"/>
  <c r="I35" i="12"/>
  <c r="H34" i="5"/>
  <c r="D56" i="10" s="1"/>
  <c r="G34" i="5"/>
  <c r="H30" i="14"/>
  <c r="H29" i="14"/>
  <c r="J27" i="13"/>
  <c r="J26" i="13"/>
  <c r="J25" i="13"/>
  <c r="J19" i="13"/>
  <c r="H27" i="13"/>
  <c r="I27" i="13" s="1"/>
  <c r="H26" i="13"/>
  <c r="I26" i="13" s="1"/>
  <c r="H25" i="13"/>
  <c r="I25" i="13" s="1"/>
  <c r="H19" i="13"/>
  <c r="I19" i="13" s="1"/>
  <c r="I33" i="13" s="1"/>
  <c r="K29" i="12"/>
  <c r="E29" i="12"/>
  <c r="K28" i="12"/>
  <c r="E28" i="12"/>
  <c r="F23" i="12"/>
  <c r="G23" i="12" s="1"/>
  <c r="J22" i="12"/>
  <c r="D16" i="12"/>
  <c r="J16" i="12" s="1"/>
  <c r="J29" i="13" l="1"/>
  <c r="J33" i="13"/>
  <c r="J32" i="13"/>
  <c r="I32" i="13"/>
  <c r="J27" i="11"/>
  <c r="I27" i="11"/>
  <c r="J26" i="11"/>
  <c r="I26" i="11"/>
  <c r="J29" i="17"/>
  <c r="J28" i="17"/>
  <c r="J31" i="13"/>
  <c r="I31" i="13"/>
  <c r="J23" i="12"/>
  <c r="L16" i="12"/>
  <c r="F22" i="17"/>
  <c r="H23" i="17"/>
  <c r="F23" i="17"/>
  <c r="H16" i="17"/>
  <c r="F16" i="17"/>
  <c r="H24" i="17"/>
  <c r="F24" i="17"/>
  <c r="L22" i="12"/>
  <c r="M22" i="12" s="1"/>
  <c r="J24" i="12"/>
  <c r="F29" i="25"/>
  <c r="F28" i="25"/>
  <c r="F16" i="12"/>
  <c r="G16" i="12" s="1"/>
  <c r="F24" i="12"/>
  <c r="G24" i="12" s="1"/>
  <c r="F22" i="12"/>
  <c r="G22" i="12" s="1"/>
  <c r="D21" i="20" l="1"/>
  <c r="H21" i="20" s="1"/>
  <c r="F17" i="19"/>
  <c r="D29" i="20"/>
  <c r="H29" i="20" s="1"/>
  <c r="F25" i="19"/>
  <c r="J25" i="19" s="1"/>
  <c r="F24" i="19"/>
  <c r="J24" i="19" s="1"/>
  <c r="D28" i="20"/>
  <c r="H28" i="20" s="1"/>
  <c r="H27" i="20"/>
  <c r="I23" i="19"/>
  <c r="K26" i="11"/>
  <c r="L26" i="11" s="1"/>
  <c r="K27" i="11"/>
  <c r="L27" i="11" s="1"/>
  <c r="L23" i="12"/>
  <c r="M23" i="12" s="1"/>
  <c r="F28" i="17"/>
  <c r="F29" i="17"/>
  <c r="L24" i="12"/>
  <c r="M24" i="12" s="1"/>
  <c r="H28" i="17"/>
  <c r="H29" i="17"/>
  <c r="G28" i="12"/>
  <c r="F29" i="12"/>
  <c r="F28" i="12"/>
  <c r="M16" i="12"/>
  <c r="G29" i="12"/>
  <c r="J23" i="19" l="1"/>
  <c r="I25" i="19"/>
  <c r="I24" i="19"/>
  <c r="H33" i="20"/>
  <c r="H32" i="20"/>
  <c r="L29" i="12"/>
  <c r="L28" i="12"/>
  <c r="J17" i="19"/>
  <c r="F29" i="19"/>
  <c r="F28" i="19"/>
  <c r="I17" i="19"/>
  <c r="M29" i="12"/>
  <c r="M28" i="12"/>
  <c r="J29" i="19" l="1"/>
  <c r="J28" i="19"/>
  <c r="I29" i="19"/>
  <c r="I28" i="19"/>
  <c r="J30" i="5"/>
  <c r="J29" i="5"/>
  <c r="J28" i="11"/>
  <c r="J20" i="11"/>
  <c r="I28" i="11"/>
  <c r="I20" i="11"/>
  <c r="F56" i="10"/>
  <c r="C58" i="10"/>
  <c r="C56" i="10"/>
  <c r="F58" i="10"/>
  <c r="F25" i="10"/>
  <c r="C25" i="10"/>
  <c r="F23" i="10"/>
  <c r="C23" i="10"/>
  <c r="K20" i="11" l="1"/>
  <c r="L20" i="11" s="1"/>
  <c r="K28" i="11"/>
  <c r="L28" i="11" s="1"/>
  <c r="G25" i="10"/>
  <c r="C27" i="10"/>
  <c r="C60" i="10"/>
  <c r="G23" i="10"/>
  <c r="G56" i="10"/>
  <c r="G58" i="10"/>
  <c r="E48" i="29"/>
  <c r="D48" i="29" l="1"/>
  <c r="F48" i="29" s="1"/>
  <c r="D42" i="29"/>
  <c r="E42" i="29"/>
  <c r="L32" i="11"/>
  <c r="L33" i="11"/>
  <c r="G27" i="10"/>
  <c r="G60" i="10"/>
  <c r="M23" i="5"/>
  <c r="M24" i="5"/>
  <c r="M25" i="5"/>
  <c r="F49" i="29" l="1"/>
  <c r="F42" i="29"/>
  <c r="M17" i="5"/>
  <c r="L29" i="5"/>
  <c r="L30" i="5"/>
  <c r="F51" i="29" l="1"/>
  <c r="D59" i="29" s="1"/>
  <c r="M30" i="5"/>
  <c r="M29" i="5"/>
  <c r="E17" i="5" l="1"/>
  <c r="D47" i="3" l="1"/>
  <c r="D30" i="29" s="1"/>
  <c r="F30" i="29" s="1"/>
  <c r="D45" i="3"/>
  <c r="D28" i="29" l="1"/>
  <c r="F28" i="29" s="1"/>
  <c r="H45" i="3"/>
  <c r="E25" i="19"/>
  <c r="E23" i="19"/>
  <c r="H47" i="3"/>
  <c r="J47" i="3" s="1"/>
  <c r="J45" i="3"/>
  <c r="C23" i="7" l="1"/>
  <c r="C58" i="29" s="1"/>
  <c r="C25" i="7"/>
  <c r="C59" i="29" s="1"/>
  <c r="E59" i="29" s="1"/>
  <c r="D25" i="7" l="1"/>
  <c r="J27" i="8" l="1"/>
  <c r="D39" i="3" l="1"/>
  <c r="H39" i="3" s="1"/>
  <c r="E17" i="19" l="1"/>
  <c r="D22" i="29"/>
  <c r="F22" i="29" s="1"/>
  <c r="F31" i="29" s="1"/>
  <c r="D58" i="29" s="1"/>
  <c r="E58" i="29" s="1"/>
  <c r="E60" i="29" s="1"/>
  <c r="I47" i="3"/>
  <c r="D30" i="5" l="1"/>
  <c r="D29" i="5"/>
  <c r="J39" i="3" l="1"/>
  <c r="I45" i="3"/>
  <c r="I39" i="3" l="1"/>
  <c r="I50" i="3" s="1"/>
  <c r="J51" i="3"/>
  <c r="C39" i="3" l="1"/>
  <c r="B39" i="3" l="1"/>
  <c r="A39" i="3"/>
  <c r="E25" i="5"/>
  <c r="F25" i="5" s="1"/>
  <c r="E24" i="5"/>
  <c r="F24" i="5" s="1"/>
  <c r="E23" i="5"/>
  <c r="F23" i="5" s="1"/>
  <c r="E29" i="5" l="1"/>
  <c r="J50" i="3"/>
  <c r="E30" i="5"/>
  <c r="I51" i="3"/>
  <c r="F17" i="5"/>
  <c r="F29" i="5" s="1"/>
  <c r="F23" i="7" l="1"/>
  <c r="G23" i="7" s="1"/>
  <c r="F30" i="5"/>
  <c r="C27" i="7"/>
  <c r="F25" i="7"/>
  <c r="G25" i="7" s="1"/>
  <c r="G27"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REVT221</author>
    <author>K Reaves</author>
    <author>rev4440</author>
    <author>rev3569</author>
    <author>rev4175</author>
    <author>rev3857</author>
  </authors>
  <commentList>
    <comment ref="H22" authorId="0" shapeId="0" xr:uid="{339752A6-96AB-445A-AF5A-F4CA2453EBFA}">
      <text>
        <r>
          <rPr>
            <sz val="9"/>
            <color indexed="81"/>
            <rFont val="Tahoma"/>
            <family val="2"/>
          </rPr>
          <t>Page 94 of PDF, 10-K</t>
        </r>
      </text>
    </comment>
    <comment ref="I22" authorId="1" shapeId="0" xr:uid="{133425BE-F95F-42CC-B832-298C8ED38C82}">
      <text>
        <r>
          <rPr>
            <sz val="9"/>
            <color indexed="81"/>
            <rFont val="Tahoma"/>
            <family val="2"/>
          </rPr>
          <t>Page 94 of PDF, 10-K</t>
        </r>
      </text>
    </comment>
    <comment ref="J22" authorId="0" shapeId="0" xr:uid="{8DCCA7CF-EBD5-42C7-AD39-C010353B3C8E}">
      <text>
        <r>
          <rPr>
            <sz val="9"/>
            <color indexed="81"/>
            <rFont val="Tahoma"/>
            <family val="2"/>
          </rPr>
          <t>Page 94 of PDF, 10-K</t>
        </r>
      </text>
    </comment>
    <comment ref="H23" authorId="1" shapeId="0" xr:uid="{B1DBA0A8-D873-4188-8C0D-FAD2137D8E92}">
      <text>
        <r>
          <rPr>
            <sz val="9"/>
            <color indexed="81"/>
            <rFont val="Tahoma"/>
            <family val="2"/>
          </rPr>
          <t>10K Page 99</t>
        </r>
      </text>
    </comment>
    <comment ref="I23" authorId="2" shapeId="0" xr:uid="{E7F26957-266A-4B66-95EA-02CFE194CB79}">
      <text>
        <r>
          <rPr>
            <sz val="9"/>
            <color indexed="81"/>
            <rFont val="Tahoma"/>
            <family val="2"/>
          </rPr>
          <t xml:space="preserve">10K Page 99
</t>
        </r>
      </text>
    </comment>
    <comment ref="J23" authorId="1" shapeId="0" xr:uid="{DF7164F9-040B-427F-AAD0-64B3ABC47EBA}">
      <text>
        <r>
          <rPr>
            <sz val="9"/>
            <color indexed="81"/>
            <rFont val="Tahoma"/>
            <family val="2"/>
          </rPr>
          <t xml:space="preserve">10K Page 135 &amp; 99
</t>
        </r>
      </text>
    </comment>
    <comment ref="H24" authorId="1" shapeId="0" xr:uid="{2D2AEECC-B99C-4148-9ACD-7785FE05833D}">
      <text>
        <r>
          <rPr>
            <sz val="9"/>
            <color indexed="81"/>
            <rFont val="Tahoma"/>
            <family val="2"/>
          </rPr>
          <t>Page171 of PDF, 10-K
F-4 &amp; F-60</t>
        </r>
      </text>
    </comment>
    <comment ref="I24" authorId="1" shapeId="0" xr:uid="{F218CC1C-B603-4303-B696-DC6C448A479B}">
      <text>
        <r>
          <rPr>
            <sz val="9"/>
            <color indexed="81"/>
            <rFont val="Tahoma"/>
            <family val="2"/>
          </rPr>
          <t>Page171 of PDF, 10-K
F-5  Subtract General partner book value of (2)</t>
        </r>
      </text>
    </comment>
    <comment ref="J24" authorId="1" shapeId="0" xr:uid="{175A4B6F-F3FC-43F6-8EA6-2D571D20CC29}">
      <text>
        <r>
          <rPr>
            <sz val="9"/>
            <color indexed="81"/>
            <rFont val="Tahoma"/>
            <family val="2"/>
          </rPr>
          <t>Page171 of PDF, 10-K
F-4</t>
        </r>
      </text>
    </comment>
    <comment ref="H25" authorId="1" shapeId="0" xr:uid="{96E16874-370C-41F2-9F46-74292AEA2243}">
      <text>
        <r>
          <rPr>
            <sz val="9"/>
            <color indexed="81"/>
            <rFont val="Tahoma"/>
            <family val="2"/>
          </rPr>
          <t>Page 91
, 10-K</t>
        </r>
      </text>
    </comment>
    <comment ref="I25" authorId="1" shapeId="0" xr:uid="{457A9A5F-8251-4140-9BBD-4AC743E51675}">
      <text>
        <r>
          <rPr>
            <sz val="9"/>
            <color indexed="81"/>
            <rFont val="Tahoma"/>
            <family val="2"/>
          </rPr>
          <t>Page 91
, 10-K</t>
        </r>
      </text>
    </comment>
    <comment ref="J25" authorId="1" shapeId="0" xr:uid="{CAF81E56-482D-47AD-9EBB-6CCB90C2E1DC}">
      <text>
        <r>
          <rPr>
            <sz val="9"/>
            <color indexed="81"/>
            <rFont val="Tahoma"/>
            <family val="2"/>
          </rPr>
          <t>Page 91
, 10-K</t>
        </r>
      </text>
    </comment>
    <comment ref="H26" authorId="0" shapeId="0" xr:uid="{4BAFD131-748E-4E0B-8C7E-D015E5536EBD}">
      <text>
        <r>
          <rPr>
            <sz val="9"/>
            <color indexed="81"/>
            <rFont val="Tahoma"/>
            <family val="2"/>
          </rPr>
          <t xml:space="preserve">10K Page 137 F-5
</t>
        </r>
      </text>
    </comment>
    <comment ref="I26" authorId="0" shapeId="0" xr:uid="{C3D11D71-1D17-455A-AD3D-F2DFBE418392}">
      <text>
        <r>
          <rPr>
            <sz val="9"/>
            <color indexed="81"/>
            <rFont val="Tahoma"/>
            <family val="2"/>
          </rPr>
          <t xml:space="preserve">10K Page 137 F-5
</t>
        </r>
      </text>
    </comment>
    <comment ref="J26" authorId="0" shapeId="0" xr:uid="{9E4CF1B5-58CD-4707-9DF1-5EAA54AB5714}">
      <text>
        <r>
          <rPr>
            <sz val="9"/>
            <color indexed="81"/>
            <rFont val="Tahoma"/>
            <family val="2"/>
          </rPr>
          <t xml:space="preserve">10K Page 137 F-5
</t>
        </r>
      </text>
    </comment>
    <comment ref="H27" authorId="1" shapeId="0" xr:uid="{5F9B5167-CEB0-4458-B6F7-FE2E1AE8A179}">
      <text>
        <r>
          <rPr>
            <b/>
            <sz val="9"/>
            <color indexed="81"/>
            <rFont val="Tahoma"/>
            <family val="2"/>
          </rPr>
          <t>K Reaves:</t>
        </r>
        <r>
          <rPr>
            <sz val="9"/>
            <color indexed="81"/>
            <rFont val="Tahoma"/>
            <family val="2"/>
          </rPr>
          <t xml:space="preserve">
Page 73
, 10-K</t>
        </r>
      </text>
    </comment>
    <comment ref="J27" authorId="1" shapeId="0" xr:uid="{C0B4D558-43C6-44FB-824A-E0F0D9220884}">
      <text>
        <r>
          <rPr>
            <sz val="9"/>
            <color indexed="81"/>
            <rFont val="Tahoma"/>
            <family val="2"/>
          </rPr>
          <t>Page 78 of PDF, 10-K</t>
        </r>
      </text>
    </comment>
    <comment ref="H28" authorId="1" shapeId="0" xr:uid="{1D46E3E0-FAF7-4AAC-ACFD-288104AB05AB}">
      <text>
        <r>
          <rPr>
            <sz val="9"/>
            <color indexed="81"/>
            <rFont val="Tahoma"/>
            <family val="2"/>
          </rPr>
          <t>Page 61, 10-K</t>
        </r>
      </text>
    </comment>
    <comment ref="I28" authorId="1" shapeId="0" xr:uid="{3BE4D9E3-5120-42FF-BCAB-E87852231565}">
      <text>
        <r>
          <rPr>
            <sz val="9"/>
            <color indexed="81"/>
            <rFont val="Tahoma"/>
            <family val="2"/>
          </rPr>
          <t>Page 59, 10-K</t>
        </r>
      </text>
    </comment>
    <comment ref="J28" authorId="1" shapeId="0" xr:uid="{F016A7A3-002E-4E2B-8FEA-9593D59F27F3}">
      <text>
        <r>
          <rPr>
            <sz val="9"/>
            <color indexed="81"/>
            <rFont val="Tahoma"/>
            <family val="2"/>
          </rPr>
          <t>Page 59, 10-K</t>
        </r>
      </text>
    </comment>
    <comment ref="H29" authorId="1" shapeId="0" xr:uid="{18CBAB58-59BB-40A6-BFDC-5403F8055F22}">
      <text>
        <r>
          <rPr>
            <sz val="9"/>
            <color indexed="81"/>
            <rFont val="Tahoma"/>
            <family val="2"/>
          </rPr>
          <t xml:space="preserve">10K Page 145
</t>
        </r>
      </text>
    </comment>
    <comment ref="I29" authorId="1" shapeId="0" xr:uid="{3A36D537-E5C5-438B-818D-9FB0F3CE9503}">
      <text>
        <r>
          <rPr>
            <sz val="9"/>
            <color indexed="81"/>
            <rFont val="Tahoma"/>
            <family val="2"/>
          </rPr>
          <t xml:space="preserve">10K Page 145
</t>
        </r>
      </text>
    </comment>
    <comment ref="J29" authorId="1" shapeId="0" xr:uid="{50A73848-D4A2-404D-8585-1F17E5E2904A}">
      <text>
        <r>
          <rPr>
            <sz val="9"/>
            <color indexed="81"/>
            <rFont val="Tahoma"/>
            <family val="2"/>
          </rPr>
          <t xml:space="preserve">10K Page 145 &amp; 189
</t>
        </r>
      </text>
    </comment>
    <comment ref="H30" authorId="2" shapeId="0" xr:uid="{B7DE7E69-BD28-406A-88FF-DC0984A094B9}">
      <text>
        <r>
          <rPr>
            <sz val="9"/>
            <color indexed="81"/>
            <rFont val="Tahoma"/>
            <family val="2"/>
          </rPr>
          <t>Page 77, 10-K</t>
        </r>
      </text>
    </comment>
    <comment ref="I30" authorId="2" shapeId="0" xr:uid="{7A55D7D8-0423-4179-812B-EA581C6F8D54}">
      <text>
        <r>
          <rPr>
            <sz val="9"/>
            <color indexed="81"/>
            <rFont val="Tahoma"/>
            <family val="2"/>
          </rPr>
          <t>Page 77, 10-K</t>
        </r>
      </text>
    </comment>
    <comment ref="J30" authorId="2" shapeId="0" xr:uid="{427C4E45-271D-41B1-B043-EF96CE2B57C7}">
      <text>
        <r>
          <rPr>
            <sz val="9"/>
            <color indexed="81"/>
            <rFont val="Tahoma"/>
            <family val="2"/>
          </rPr>
          <t>Page 77 &amp; 115, 10-K</t>
        </r>
      </text>
    </comment>
    <comment ref="F35" authorId="3" shapeId="0" xr:uid="{CEF678F7-6580-4CF3-AC8E-A803AFF27478}">
      <text>
        <r>
          <rPr>
            <b/>
            <sz val="11"/>
            <color indexed="81"/>
            <rFont val="Tahoma"/>
            <family val="2"/>
          </rPr>
          <t>rev3569:</t>
        </r>
        <r>
          <rPr>
            <sz val="11"/>
            <color indexed="81"/>
            <rFont val="Tahoma"/>
            <family val="2"/>
          </rPr>
          <t xml:space="preserve">
identify present value in 10K</t>
        </r>
      </text>
    </comment>
    <comment ref="F39" authorId="4" shapeId="0" xr:uid="{32A79EB1-89DD-4FFC-BF85-9F435067A5E0}">
      <text>
        <r>
          <rPr>
            <b/>
            <sz val="9"/>
            <color indexed="81"/>
            <rFont val="Tahoma"/>
            <family val="2"/>
          </rPr>
          <t>rev4175:</t>
        </r>
        <r>
          <rPr>
            <sz val="9"/>
            <color indexed="81"/>
            <rFont val="Tahoma"/>
            <family val="2"/>
          </rPr>
          <t xml:space="preserve">
10K Page 94</t>
        </r>
      </text>
    </comment>
    <comment ref="G39" authorId="5" shapeId="0" xr:uid="{9BC3662C-A8FC-4F1B-B746-D3F2D09BAF4B}">
      <text>
        <r>
          <rPr>
            <sz val="9"/>
            <color indexed="81"/>
            <rFont val="Tahoma"/>
            <family val="2"/>
          </rPr>
          <t>Page 121
 of PDF, 10-K</t>
        </r>
      </text>
    </comment>
    <comment ref="F40" authorId="4" shapeId="0" xr:uid="{37BCC499-549B-4799-ABA9-6F6FC9BFCE57}">
      <text>
        <r>
          <rPr>
            <b/>
            <sz val="9"/>
            <color indexed="81"/>
            <rFont val="Tahoma"/>
            <family val="2"/>
          </rPr>
          <t>rev4175:</t>
        </r>
        <r>
          <rPr>
            <sz val="9"/>
            <color indexed="81"/>
            <rFont val="Tahoma"/>
            <family val="2"/>
          </rPr>
          <t xml:space="preserve">
10K Page 168
</t>
        </r>
      </text>
    </comment>
    <comment ref="G40" authorId="0" shapeId="0" xr:uid="{175B6987-1F90-4475-8600-13A4E6446C19}">
      <text>
        <r>
          <rPr>
            <sz val="9"/>
            <color indexed="81"/>
            <rFont val="Tahoma"/>
            <family val="2"/>
          </rPr>
          <t>Page 135 of PDF, 10-K</t>
        </r>
      </text>
    </comment>
    <comment ref="F41" authorId="1" shapeId="0" xr:uid="{D0120B8A-CC15-4E29-8CAA-5E160282CF9B}">
      <text>
        <r>
          <rPr>
            <sz val="9"/>
            <color indexed="81"/>
            <rFont val="Tahoma"/>
            <family val="2"/>
          </rPr>
          <t xml:space="preserve">Page171 of PDF, 10-K
F-4 &amp; F-60
</t>
        </r>
      </text>
    </comment>
    <comment ref="G41" authorId="0" shapeId="0" xr:uid="{BE4E6FD1-4BC6-4D2A-B35B-9737105F5721}">
      <text>
        <r>
          <rPr>
            <sz val="9"/>
            <color indexed="81"/>
            <rFont val="Tahoma"/>
            <family val="2"/>
          </rPr>
          <t xml:space="preserve">Page 186 of PDF, 10-K
F-20
</t>
        </r>
      </text>
    </comment>
    <comment ref="F42" authorId="4" shapeId="0" xr:uid="{FC558506-0FC7-427F-BB9B-D65B1F83D750}">
      <text>
        <r>
          <rPr>
            <b/>
            <sz val="9"/>
            <color indexed="81"/>
            <rFont val="Tahoma"/>
            <family val="2"/>
          </rPr>
          <t>rev4175:</t>
        </r>
        <r>
          <rPr>
            <sz val="9"/>
            <color indexed="81"/>
            <rFont val="Tahoma"/>
            <family val="2"/>
          </rPr>
          <t xml:space="preserve">
10K Page 137 F-5</t>
        </r>
      </text>
    </comment>
    <comment ref="G42" authorId="0" shapeId="0" xr:uid="{02C85984-7092-4FE4-B5FA-655C741F56D0}">
      <text>
        <r>
          <rPr>
            <sz val="9"/>
            <color indexed="81"/>
            <rFont val="Tahoma"/>
            <family val="2"/>
          </rPr>
          <t xml:space="preserve">10K Page 132
</t>
        </r>
      </text>
    </comment>
    <comment ref="F43" authorId="4" shapeId="0" xr:uid="{BBAA9E09-0D15-42C7-84D1-F54EB79ACE6E}">
      <text>
        <r>
          <rPr>
            <b/>
            <sz val="9"/>
            <color indexed="81"/>
            <rFont val="Tahoma"/>
            <family val="2"/>
          </rPr>
          <t>rev4175:</t>
        </r>
        <r>
          <rPr>
            <sz val="9"/>
            <color indexed="81"/>
            <rFont val="Tahoma"/>
            <family val="2"/>
          </rPr>
          <t xml:space="preserve">
10K Page 201 F-69</t>
        </r>
      </text>
    </comment>
    <comment ref="G43" authorId="5" shapeId="0" xr:uid="{615D4BCA-D940-48FD-B625-42DEDE85B78C}">
      <text>
        <r>
          <rPr>
            <sz val="9"/>
            <color indexed="81"/>
            <rFont val="Tahoma"/>
            <family val="2"/>
          </rPr>
          <t xml:space="preserve">Page193, 10-K  F-61
</t>
        </r>
      </text>
    </comment>
    <comment ref="F44" authorId="4" shapeId="0" xr:uid="{C04FBC3E-1943-4678-BBE2-CB9FE2A0B2A2}">
      <text>
        <r>
          <rPr>
            <b/>
            <sz val="9"/>
            <color indexed="81"/>
            <rFont val="Tahoma"/>
            <family val="2"/>
          </rPr>
          <t>rev4175:</t>
        </r>
        <r>
          <rPr>
            <sz val="9"/>
            <color indexed="81"/>
            <rFont val="Tahoma"/>
            <family val="2"/>
          </rPr>
          <t xml:space="preserve">
10K Page 124</t>
        </r>
      </text>
    </comment>
    <comment ref="G44" authorId="5" shapeId="0" xr:uid="{40102772-460C-4A55-8824-5E9B157AC933}">
      <text>
        <r>
          <rPr>
            <sz val="9"/>
            <color indexed="81"/>
            <rFont val="Tahoma"/>
            <family val="2"/>
          </rPr>
          <t xml:space="preserve">Page 66, 10-K
</t>
        </r>
      </text>
    </comment>
    <comment ref="F45" authorId="4" shapeId="0" xr:uid="{EC904E2E-8B1E-4E5D-AD50-C939792FEE1D}">
      <text>
        <r>
          <rPr>
            <b/>
            <sz val="9"/>
            <color indexed="81"/>
            <rFont val="Tahoma"/>
            <family val="2"/>
          </rPr>
          <t>rev4175:</t>
        </r>
        <r>
          <rPr>
            <sz val="9"/>
            <color indexed="81"/>
            <rFont val="Tahoma"/>
            <family val="2"/>
          </rPr>
          <t xml:space="preserve">
10K page 96</t>
        </r>
      </text>
    </comment>
    <comment ref="G45" authorId="5" shapeId="0" xr:uid="{6207CA7E-DB89-4567-82A8-840B487A89F7}">
      <text>
        <r>
          <rPr>
            <sz val="9"/>
            <color indexed="81"/>
            <rFont val="Tahoma"/>
            <family val="2"/>
          </rPr>
          <t xml:space="preserve">Page 75, 10-K
</t>
        </r>
      </text>
    </comment>
    <comment ref="F46" authorId="4" shapeId="0" xr:uid="{4DAF7545-1338-4A52-8F98-BA02D89B0A46}">
      <text>
        <r>
          <rPr>
            <b/>
            <sz val="9"/>
            <color indexed="81"/>
            <rFont val="Tahoma"/>
            <family val="2"/>
          </rPr>
          <t>rev4175:</t>
        </r>
        <r>
          <rPr>
            <sz val="9"/>
            <color indexed="81"/>
            <rFont val="Tahoma"/>
            <family val="2"/>
          </rPr>
          <t xml:space="preserve">
10K Page 172</t>
        </r>
      </text>
    </comment>
    <comment ref="G46" authorId="5" shapeId="0" xr:uid="{F161DC34-0BF6-4E0F-8EF9-64E69693EB94}">
      <text>
        <r>
          <rPr>
            <sz val="9"/>
            <color indexed="81"/>
            <rFont val="Tahoma"/>
            <family val="2"/>
          </rPr>
          <t xml:space="preserve">Page 131 of PDF, 10-K
</t>
        </r>
      </text>
    </comment>
    <comment ref="F47" authorId="4" shapeId="0" xr:uid="{938CB5D1-AA1F-4DD7-998C-265FF2779C6E}">
      <text>
        <r>
          <rPr>
            <b/>
            <sz val="9"/>
            <color indexed="81"/>
            <rFont val="Tahoma"/>
            <family val="2"/>
          </rPr>
          <t>rev4175:</t>
        </r>
        <r>
          <rPr>
            <sz val="9"/>
            <color indexed="81"/>
            <rFont val="Tahoma"/>
            <family val="2"/>
          </rPr>
          <t xml:space="preserve">
10K Page 119</t>
        </r>
      </text>
    </comment>
    <comment ref="G47" authorId="5" shapeId="0" xr:uid="{13036AC4-4814-48B7-8829-408F40C40614}">
      <text>
        <r>
          <rPr>
            <sz val="9"/>
            <color indexed="81"/>
            <rFont val="Tahoma"/>
            <family val="2"/>
          </rPr>
          <t xml:space="preserve">Page 121, 10-K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 Reaves</author>
    <author>rev4175</author>
  </authors>
  <commentList>
    <comment ref="E22" authorId="0" shapeId="0" xr:uid="{5E7BBFAF-1402-457F-8A84-41FDEA1C2B3D}">
      <text>
        <r>
          <rPr>
            <sz val="9"/>
            <color indexed="81"/>
            <rFont val="Tahoma"/>
            <family val="2"/>
          </rPr>
          <t>Page 94 of PDF, 10-K</t>
        </r>
      </text>
    </comment>
    <comment ref="E23" authorId="0" shapeId="0" xr:uid="{B424D59E-5FB6-4A8E-B62F-20D36DBB9E9F}">
      <text>
        <r>
          <rPr>
            <sz val="9"/>
            <color indexed="81"/>
            <rFont val="Tahoma"/>
            <family val="2"/>
          </rPr>
          <t>Page 99 of PDF, 10-K</t>
        </r>
      </text>
    </comment>
    <comment ref="E24" authorId="1" shapeId="0" xr:uid="{95E3E26D-7006-4A9A-9D6E-31E1F02F9ECD}">
      <text>
        <r>
          <rPr>
            <b/>
            <sz val="9"/>
            <color indexed="81"/>
            <rFont val="Tahoma"/>
            <family val="2"/>
          </rPr>
          <t>rev4175:</t>
        </r>
        <r>
          <rPr>
            <sz val="9"/>
            <color indexed="81"/>
            <rFont val="Tahoma"/>
            <family val="2"/>
          </rPr>
          <t xml:space="preserve">
10k page 171 of pdf</t>
        </r>
      </text>
    </comment>
    <comment ref="E25" authorId="1" shapeId="0" xr:uid="{BCFB1858-EBC1-4C7C-BB0D-CBD311282F6D}">
      <text>
        <r>
          <rPr>
            <b/>
            <sz val="9"/>
            <color indexed="81"/>
            <rFont val="Tahoma"/>
            <family val="2"/>
          </rPr>
          <t>rev4175:</t>
        </r>
        <r>
          <rPr>
            <sz val="9"/>
            <color indexed="81"/>
            <rFont val="Tahoma"/>
            <family val="2"/>
          </rPr>
          <t xml:space="preserve">
10K page 91 of pdf</t>
        </r>
      </text>
    </comment>
    <comment ref="E26" authorId="1" shapeId="0" xr:uid="{C56CC588-A8B7-46A6-B220-1166EB5B6E7B}">
      <text>
        <r>
          <rPr>
            <b/>
            <sz val="9"/>
            <color indexed="81"/>
            <rFont val="Tahoma"/>
            <family val="2"/>
          </rPr>
          <t>rev4175:</t>
        </r>
        <r>
          <rPr>
            <sz val="9"/>
            <color indexed="81"/>
            <rFont val="Tahoma"/>
            <family val="2"/>
          </rPr>
          <t xml:space="preserve">
10K page 137
 of pdf</t>
        </r>
      </text>
    </comment>
    <comment ref="E27" authorId="1" shapeId="0" xr:uid="{B61EB772-4FFA-4584-8D39-AAA64E9A49AF}">
      <text>
        <r>
          <rPr>
            <b/>
            <sz val="9"/>
            <color indexed="81"/>
            <rFont val="Tahoma"/>
            <family val="2"/>
          </rPr>
          <t>rev4175:</t>
        </r>
        <r>
          <rPr>
            <sz val="9"/>
            <color indexed="81"/>
            <rFont val="Tahoma"/>
            <family val="2"/>
          </rPr>
          <t xml:space="preserve">
10K page 76
 of pdf</t>
        </r>
      </text>
    </comment>
    <comment ref="E28" authorId="1" shapeId="0" xr:uid="{FA64F227-AC4B-4C8B-9762-ACD9CEE1F45F}">
      <text>
        <r>
          <rPr>
            <b/>
            <sz val="9"/>
            <color indexed="81"/>
            <rFont val="Tahoma"/>
            <family val="2"/>
          </rPr>
          <t>rev4175:</t>
        </r>
        <r>
          <rPr>
            <sz val="9"/>
            <color indexed="81"/>
            <rFont val="Tahoma"/>
            <family val="2"/>
          </rPr>
          <t xml:space="preserve">
10K page 61 of pdf</t>
        </r>
      </text>
    </comment>
    <comment ref="E29" authorId="1" shapeId="0" xr:uid="{B90450DE-D0B7-4AEA-A356-66A5A3AFE36D}">
      <text>
        <r>
          <rPr>
            <b/>
            <sz val="9"/>
            <color indexed="81"/>
            <rFont val="Tahoma"/>
            <family val="2"/>
          </rPr>
          <t>rev4175:</t>
        </r>
        <r>
          <rPr>
            <sz val="9"/>
            <color indexed="81"/>
            <rFont val="Tahoma"/>
            <family val="2"/>
          </rPr>
          <t xml:space="preserve">
4Q page 46 of pdf</t>
        </r>
      </text>
    </comment>
    <comment ref="E30" authorId="1" shapeId="0" xr:uid="{4932A4E4-CD15-4F7D-8180-DF0F8F2DCAD0}">
      <text>
        <r>
          <rPr>
            <b/>
            <sz val="9"/>
            <color indexed="81"/>
            <rFont val="Tahoma"/>
            <family val="2"/>
          </rPr>
          <t>rev4175:</t>
        </r>
        <r>
          <rPr>
            <sz val="9"/>
            <color indexed="81"/>
            <rFont val="Tahoma"/>
            <family val="2"/>
          </rPr>
          <t xml:space="preserve">
10K page 78 of 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rev4175</author>
  </authors>
  <commentList>
    <comment ref="D20" authorId="0" shapeId="0" xr:uid="{2ECB4CE1-6A7C-4135-BCD9-2AC95B8C5EDD}">
      <text>
        <r>
          <rPr>
            <b/>
            <sz val="9"/>
            <color indexed="81"/>
            <rFont val="Tahoma"/>
            <family val="2"/>
          </rPr>
          <t>rev4175:</t>
        </r>
        <r>
          <rPr>
            <sz val="9"/>
            <color indexed="81"/>
            <rFont val="Tahoma"/>
            <family val="2"/>
          </rPr>
          <t xml:space="preserve">
10K Page 119 of pdf</t>
        </r>
      </text>
    </comment>
    <comment ref="E20" authorId="0" shapeId="0" xr:uid="{86E0E616-CAF3-4B07-A7E0-8B033DB5C15A}">
      <text>
        <r>
          <rPr>
            <b/>
            <sz val="9"/>
            <color indexed="81"/>
            <rFont val="Tahoma"/>
            <family val="2"/>
          </rPr>
          <t>rev4175:</t>
        </r>
        <r>
          <rPr>
            <sz val="9"/>
            <color indexed="81"/>
            <rFont val="Tahoma"/>
            <family val="2"/>
          </rPr>
          <t xml:space="preserve">
10K Page 119 of pdf</t>
        </r>
      </text>
    </comment>
    <comment ref="G20" authorId="0" shapeId="0" xr:uid="{5D6B79AC-1EE1-4593-AE0B-9DB23B882FB7}">
      <text>
        <r>
          <rPr>
            <b/>
            <sz val="9"/>
            <color indexed="81"/>
            <rFont val="Tahoma"/>
            <family val="2"/>
          </rPr>
          <t>rev4175:</t>
        </r>
        <r>
          <rPr>
            <sz val="9"/>
            <color indexed="81"/>
            <rFont val="Tahoma"/>
            <family val="2"/>
          </rPr>
          <t xml:space="preserve">
10K Page 101 of pdf</t>
        </r>
      </text>
    </comment>
    <comment ref="D21" authorId="0" shapeId="0" xr:uid="{C108BB93-1089-40BB-A594-762E9E81E0FE}">
      <text>
        <r>
          <rPr>
            <b/>
            <sz val="9"/>
            <color indexed="81"/>
            <rFont val="Tahoma"/>
            <family val="2"/>
          </rPr>
          <t>rev4175:</t>
        </r>
        <r>
          <rPr>
            <sz val="9"/>
            <color indexed="81"/>
            <rFont val="Tahoma"/>
            <family val="2"/>
          </rPr>
          <t xml:space="preserve">
10K Page 127</t>
        </r>
      </text>
    </comment>
    <comment ref="E21" authorId="0" shapeId="0" xr:uid="{3ACAA755-1114-40F2-A8AE-9CAB4AEA6A98}">
      <text>
        <r>
          <rPr>
            <b/>
            <sz val="9"/>
            <color indexed="81"/>
            <rFont val="Tahoma"/>
            <family val="2"/>
          </rPr>
          <t>rev4175:</t>
        </r>
        <r>
          <rPr>
            <sz val="9"/>
            <color indexed="81"/>
            <rFont val="Tahoma"/>
            <family val="2"/>
          </rPr>
          <t xml:space="preserve">
10K Page 127</t>
        </r>
      </text>
    </comment>
    <comment ref="G21" authorId="0" shapeId="0" xr:uid="{8CCD3577-990F-4537-9152-D1A7C8125AFD}">
      <text>
        <r>
          <rPr>
            <b/>
            <sz val="9"/>
            <color indexed="81"/>
            <rFont val="Tahoma"/>
            <family val="2"/>
          </rPr>
          <t>rev4175:</t>
        </r>
        <r>
          <rPr>
            <sz val="9"/>
            <color indexed="81"/>
            <rFont val="Tahoma"/>
            <family val="2"/>
          </rPr>
          <t xml:space="preserve">
10K Page 95</t>
        </r>
      </text>
    </comment>
    <comment ref="D22" authorId="0" shapeId="0" xr:uid="{20F14F72-8016-4AA2-A0C7-E80763A448DA}">
      <text>
        <r>
          <rPr>
            <b/>
            <sz val="9"/>
            <color indexed="81"/>
            <rFont val="Tahoma"/>
            <family val="2"/>
          </rPr>
          <t>rev4175:</t>
        </r>
        <r>
          <rPr>
            <sz val="9"/>
            <color indexed="81"/>
            <rFont val="Tahoma"/>
            <family val="2"/>
          </rPr>
          <t xml:space="preserve">
10K Page 170 of pdf</t>
        </r>
      </text>
    </comment>
    <comment ref="E22" authorId="0" shapeId="0" xr:uid="{738BF497-B949-4979-B9C5-17338E280C22}">
      <text>
        <r>
          <rPr>
            <b/>
            <sz val="9"/>
            <color indexed="81"/>
            <rFont val="Tahoma"/>
            <family val="2"/>
          </rPr>
          <t>rev4175:</t>
        </r>
        <r>
          <rPr>
            <sz val="9"/>
            <color indexed="81"/>
            <rFont val="Tahoma"/>
            <family val="2"/>
          </rPr>
          <t xml:space="preserve">
10K Page 170 of pdf</t>
        </r>
      </text>
    </comment>
    <comment ref="G22" authorId="0" shapeId="0" xr:uid="{48F86D09-2DC7-480D-8949-DB5C67AC61FB}">
      <text>
        <r>
          <rPr>
            <b/>
            <sz val="9"/>
            <color indexed="81"/>
            <rFont val="Tahoma"/>
            <family val="2"/>
          </rPr>
          <t>rev4175:</t>
        </r>
        <r>
          <rPr>
            <sz val="9"/>
            <color indexed="81"/>
            <rFont val="Tahoma"/>
            <family val="2"/>
          </rPr>
          <t xml:space="preserve">
10K Page 172 of pdf</t>
        </r>
      </text>
    </comment>
    <comment ref="D23" authorId="0" shapeId="0" xr:uid="{E1CFD104-7B0A-4148-BA53-D4616EDCA431}">
      <text>
        <r>
          <rPr>
            <b/>
            <sz val="9"/>
            <color indexed="81"/>
            <rFont val="Tahoma"/>
            <family val="2"/>
          </rPr>
          <t>rev4175:</t>
        </r>
        <r>
          <rPr>
            <sz val="9"/>
            <color indexed="81"/>
            <rFont val="Tahoma"/>
            <family val="2"/>
          </rPr>
          <t xml:space="preserve">
10K Page 101</t>
        </r>
      </text>
    </comment>
    <comment ref="E23" authorId="0" shapeId="0" xr:uid="{29BE095D-AFC2-49D0-A771-01172B1C8748}">
      <text>
        <r>
          <rPr>
            <b/>
            <sz val="9"/>
            <color indexed="81"/>
            <rFont val="Tahoma"/>
            <family val="2"/>
          </rPr>
          <t>rev4175:</t>
        </r>
        <r>
          <rPr>
            <sz val="9"/>
            <color indexed="81"/>
            <rFont val="Tahoma"/>
            <family val="2"/>
          </rPr>
          <t xml:space="preserve">
10K Page 101</t>
        </r>
      </text>
    </comment>
    <comment ref="G23" authorId="0" shapeId="0" xr:uid="{77D1B24F-6166-4D48-AF54-08DB4A9F0AA6}">
      <text>
        <r>
          <rPr>
            <b/>
            <sz val="9"/>
            <color indexed="81"/>
            <rFont val="Tahoma"/>
            <family val="2"/>
          </rPr>
          <t>rev4175:</t>
        </r>
        <r>
          <rPr>
            <sz val="9"/>
            <color indexed="81"/>
            <rFont val="Tahoma"/>
            <family val="2"/>
          </rPr>
          <t xml:space="preserve">
10K Page 92</t>
        </r>
      </text>
    </comment>
    <comment ref="D24" authorId="0" shapeId="0" xr:uid="{A479FAF7-17D4-4124-8AD7-9511582BEB75}">
      <text>
        <r>
          <rPr>
            <b/>
            <sz val="9"/>
            <color indexed="81"/>
            <rFont val="Tahoma"/>
            <family val="2"/>
          </rPr>
          <t>rev4175:</t>
        </r>
        <r>
          <rPr>
            <sz val="9"/>
            <color indexed="81"/>
            <rFont val="Tahoma"/>
            <family val="2"/>
          </rPr>
          <t xml:space="preserve">
10K Page 153 of pdf</t>
        </r>
      </text>
    </comment>
    <comment ref="E24" authorId="0" shapeId="0" xr:uid="{83A582E3-A6A9-4F94-810D-90618547CBC0}">
      <text>
        <r>
          <rPr>
            <b/>
            <sz val="9"/>
            <color indexed="81"/>
            <rFont val="Tahoma"/>
            <family val="2"/>
          </rPr>
          <t>rev4175:</t>
        </r>
        <r>
          <rPr>
            <sz val="9"/>
            <color indexed="81"/>
            <rFont val="Tahoma"/>
            <family val="2"/>
          </rPr>
          <t xml:space="preserve">
10K Page 153 of pdf</t>
        </r>
      </text>
    </comment>
    <comment ref="G24" authorId="0" shapeId="0" xr:uid="{3F6B4D1E-EF16-42B2-BB58-A47E430F329F}">
      <text>
        <r>
          <rPr>
            <b/>
            <sz val="9"/>
            <color indexed="81"/>
            <rFont val="Tahoma"/>
            <family val="2"/>
          </rPr>
          <t>rev4175:</t>
        </r>
        <r>
          <rPr>
            <sz val="9"/>
            <color indexed="81"/>
            <rFont val="Tahoma"/>
            <family val="2"/>
          </rPr>
          <t xml:space="preserve">
10K Page 67 of pdf</t>
        </r>
      </text>
    </comment>
    <comment ref="D25" authorId="0" shapeId="0" xr:uid="{2C774725-A512-49AC-8B0B-2CFF459B8C4F}">
      <text>
        <r>
          <rPr>
            <b/>
            <sz val="9"/>
            <color indexed="81"/>
            <rFont val="Tahoma"/>
            <family val="2"/>
          </rPr>
          <t>rev4175:</t>
        </r>
        <r>
          <rPr>
            <sz val="9"/>
            <color indexed="81"/>
            <rFont val="Tahoma"/>
            <family val="2"/>
          </rPr>
          <t xml:space="preserve">
10K Page 98 of pdf</t>
        </r>
      </text>
    </comment>
    <comment ref="E25" authorId="0" shapeId="0" xr:uid="{ED123B7D-D8F9-4293-80BF-A5D128E064C0}">
      <text>
        <r>
          <rPr>
            <b/>
            <sz val="9"/>
            <color indexed="81"/>
            <rFont val="Tahoma"/>
            <family val="2"/>
          </rPr>
          <t>rev4175:</t>
        </r>
        <r>
          <rPr>
            <sz val="9"/>
            <color indexed="81"/>
            <rFont val="Tahoma"/>
            <family val="2"/>
          </rPr>
          <t xml:space="preserve">
10K Page 98 of pdf</t>
        </r>
      </text>
    </comment>
    <comment ref="G25" authorId="0" shapeId="0" xr:uid="{F3470B42-251A-4CFB-8ED9-77BAA74326BF}">
      <text>
        <r>
          <rPr>
            <b/>
            <sz val="9"/>
            <color indexed="81"/>
            <rFont val="Tahoma"/>
            <family val="2"/>
          </rPr>
          <t>rev4175:</t>
        </r>
        <r>
          <rPr>
            <sz val="9"/>
            <color indexed="81"/>
            <rFont val="Tahoma"/>
            <family val="2"/>
          </rPr>
          <t xml:space="preserve">
10K Page 74 of pdf</t>
        </r>
      </text>
    </comment>
    <comment ref="D26" authorId="0" shapeId="0" xr:uid="{4E24EBDC-C283-4C35-A6B7-0BFDA5A0A011}">
      <text>
        <r>
          <rPr>
            <b/>
            <sz val="9"/>
            <color indexed="81"/>
            <rFont val="Tahoma"/>
            <family val="2"/>
          </rPr>
          <t>rev4175:</t>
        </r>
        <r>
          <rPr>
            <sz val="9"/>
            <color indexed="81"/>
            <rFont val="Tahoma"/>
            <family val="2"/>
          </rPr>
          <t xml:space="preserve">
10K Pag 60 of pdf</t>
        </r>
      </text>
    </comment>
    <comment ref="E26" authorId="0" shapeId="0" xr:uid="{EA9C960C-C915-4695-80D3-C49424589FC1}">
      <text>
        <r>
          <rPr>
            <b/>
            <sz val="9"/>
            <color indexed="81"/>
            <rFont val="Tahoma"/>
            <family val="2"/>
          </rPr>
          <t>rev4175:</t>
        </r>
        <r>
          <rPr>
            <sz val="9"/>
            <color indexed="81"/>
            <rFont val="Tahoma"/>
            <family val="2"/>
          </rPr>
          <t xml:space="preserve">
10K Pag 60 of pdf</t>
        </r>
      </text>
    </comment>
    <comment ref="G26" authorId="0" shapeId="0" xr:uid="{70FD876F-F71D-43B4-B936-4708D20AD329}">
      <text>
        <r>
          <rPr>
            <b/>
            <sz val="9"/>
            <color indexed="81"/>
            <rFont val="Tahoma"/>
            <family val="2"/>
          </rPr>
          <t>rev4175:</t>
        </r>
        <r>
          <rPr>
            <sz val="9"/>
            <color indexed="81"/>
            <rFont val="Tahoma"/>
            <family val="2"/>
          </rPr>
          <t xml:space="preserve">
10K Page 58 of pdf</t>
        </r>
      </text>
    </comment>
    <comment ref="D27" authorId="0" shapeId="0" xr:uid="{C6476CB2-387A-4430-AC9C-EBDD2271D56A}">
      <text>
        <r>
          <rPr>
            <b/>
            <sz val="9"/>
            <color indexed="81"/>
            <rFont val="Tahoma"/>
            <family val="2"/>
          </rPr>
          <t>rev4175:</t>
        </r>
        <r>
          <rPr>
            <sz val="9"/>
            <color indexed="81"/>
            <rFont val="Tahoma"/>
            <family val="2"/>
          </rPr>
          <t xml:space="preserve">
40F Page 171</t>
        </r>
      </text>
    </comment>
    <comment ref="E27" authorId="0" shapeId="0" xr:uid="{66D0C3A0-EDF8-43FF-B6D1-261F396FAE7B}">
      <text>
        <r>
          <rPr>
            <b/>
            <sz val="9"/>
            <color indexed="81"/>
            <rFont val="Tahoma"/>
            <family val="2"/>
          </rPr>
          <t>rev4175:</t>
        </r>
        <r>
          <rPr>
            <sz val="9"/>
            <color indexed="81"/>
            <rFont val="Tahoma"/>
            <family val="2"/>
          </rPr>
          <t xml:space="preserve">
40F Page 171</t>
        </r>
      </text>
    </comment>
    <comment ref="G27" authorId="0" shapeId="0" xr:uid="{99768A73-4ACA-4BE5-90EE-D6290F8B9843}">
      <text>
        <r>
          <rPr>
            <b/>
            <sz val="9"/>
            <color indexed="81"/>
            <rFont val="Tahoma"/>
            <family val="2"/>
          </rPr>
          <t>rev4175:</t>
        </r>
        <r>
          <rPr>
            <sz val="9"/>
            <color indexed="81"/>
            <rFont val="Tahoma"/>
            <family val="2"/>
          </rPr>
          <t xml:space="preserve">
40F Page 142</t>
        </r>
      </text>
    </comment>
    <comment ref="D28" authorId="0" shapeId="0" xr:uid="{C8688DAB-D86F-4013-80A1-BA571BE41016}">
      <text>
        <r>
          <rPr>
            <b/>
            <sz val="9"/>
            <color indexed="81"/>
            <rFont val="Tahoma"/>
            <family val="2"/>
          </rPr>
          <t>rev4175:</t>
        </r>
        <r>
          <rPr>
            <sz val="9"/>
            <color indexed="81"/>
            <rFont val="Tahoma"/>
            <family val="2"/>
          </rPr>
          <t xml:space="preserve">
10K Page 112 of pdf</t>
        </r>
      </text>
    </comment>
    <comment ref="E28" authorId="0" shapeId="0" xr:uid="{C5C05C18-06A8-4217-8BF9-BA5E1D180C28}">
      <text>
        <r>
          <rPr>
            <b/>
            <sz val="9"/>
            <color indexed="81"/>
            <rFont val="Tahoma"/>
            <family val="2"/>
          </rPr>
          <t>rev4175:</t>
        </r>
        <r>
          <rPr>
            <sz val="9"/>
            <color indexed="81"/>
            <rFont val="Tahoma"/>
            <family val="2"/>
          </rPr>
          <t xml:space="preserve">
10K Page 112 of pdf</t>
        </r>
      </text>
    </comment>
    <comment ref="G28" authorId="0" shapeId="0" xr:uid="{B344178F-7EC9-440A-8265-6F9BDF4D1F33}">
      <text>
        <r>
          <rPr>
            <b/>
            <sz val="9"/>
            <color indexed="81"/>
            <rFont val="Tahoma"/>
            <family val="2"/>
          </rPr>
          <t>rev4175:</t>
        </r>
        <r>
          <rPr>
            <sz val="9"/>
            <color indexed="81"/>
            <rFont val="Tahoma"/>
            <family val="2"/>
          </rPr>
          <t xml:space="preserve">
10K Page 76 of 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rev4175</author>
  </authors>
  <commentList>
    <comment ref="C19" authorId="0" shapeId="0" xr:uid="{78407214-61D3-45BA-9ABF-17B06C264D42}">
      <text>
        <r>
          <rPr>
            <b/>
            <sz val="9"/>
            <color indexed="81"/>
            <rFont val="Tahoma"/>
            <family val="2"/>
          </rPr>
          <t>rev4175:</t>
        </r>
        <r>
          <rPr>
            <sz val="9"/>
            <color indexed="81"/>
            <rFont val="Tahoma"/>
            <family val="2"/>
          </rPr>
          <t xml:space="preserve">
10K Page 101 of pdf</t>
        </r>
      </text>
    </comment>
    <comment ref="D19" authorId="0" shapeId="0" xr:uid="{0E00164E-09BF-4AC4-84A8-272214C9129A}">
      <text>
        <r>
          <rPr>
            <b/>
            <sz val="9"/>
            <color indexed="81"/>
            <rFont val="Tahoma"/>
            <family val="2"/>
          </rPr>
          <t>rev4175:</t>
        </r>
        <r>
          <rPr>
            <sz val="9"/>
            <color indexed="81"/>
            <rFont val="Tahoma"/>
            <family val="2"/>
          </rPr>
          <t xml:space="preserve">
2022 Cap Rate Study</t>
        </r>
      </text>
    </comment>
    <comment ref="E19" authorId="0" shapeId="0" xr:uid="{7617C940-4F2C-4BE4-B17E-D19A6081DE42}">
      <text>
        <r>
          <rPr>
            <b/>
            <sz val="9"/>
            <color indexed="81"/>
            <rFont val="Tahoma"/>
            <family val="2"/>
          </rPr>
          <t>rev4175:</t>
        </r>
        <r>
          <rPr>
            <sz val="9"/>
            <color indexed="81"/>
            <rFont val="Tahoma"/>
            <family val="2"/>
          </rPr>
          <t xml:space="preserve">
2022 Cap Rate Study</t>
        </r>
      </text>
    </comment>
    <comment ref="C20" authorId="0" shapeId="0" xr:uid="{A625B019-E4B9-48FF-AE6B-DDCF483221A1}">
      <text>
        <r>
          <rPr>
            <b/>
            <sz val="9"/>
            <color indexed="81"/>
            <rFont val="Tahoma"/>
            <family val="2"/>
          </rPr>
          <t>rev4175:</t>
        </r>
        <r>
          <rPr>
            <sz val="9"/>
            <color indexed="81"/>
            <rFont val="Tahoma"/>
            <family val="2"/>
          </rPr>
          <t xml:space="preserve">
10K Page 95 of pdf</t>
        </r>
      </text>
    </comment>
    <comment ref="D20" authorId="0" shapeId="0" xr:uid="{4B559ACE-F8A1-45E7-9756-EC5A7B9C2E27}">
      <text>
        <r>
          <rPr>
            <b/>
            <sz val="9"/>
            <color indexed="81"/>
            <rFont val="Tahoma"/>
            <family val="2"/>
          </rPr>
          <t>rev4175:</t>
        </r>
        <r>
          <rPr>
            <sz val="9"/>
            <color indexed="81"/>
            <rFont val="Tahoma"/>
            <family val="2"/>
          </rPr>
          <t xml:space="preserve">
2022 Cap Rate Study</t>
        </r>
      </text>
    </comment>
    <comment ref="E20" authorId="0" shapeId="0" xr:uid="{B3A1B5E0-F24F-4D15-84C6-9D6768F8CDA5}">
      <text>
        <r>
          <rPr>
            <b/>
            <sz val="9"/>
            <color indexed="81"/>
            <rFont val="Tahoma"/>
            <family val="2"/>
          </rPr>
          <t>rev4175:</t>
        </r>
        <r>
          <rPr>
            <sz val="9"/>
            <color indexed="81"/>
            <rFont val="Tahoma"/>
            <family val="2"/>
          </rPr>
          <t xml:space="preserve">
2022 Cap Rate Study</t>
        </r>
      </text>
    </comment>
    <comment ref="C21" authorId="0" shapeId="0" xr:uid="{F4C48BE9-E0B6-4DA2-8A0A-D26224B3A094}">
      <text>
        <r>
          <rPr>
            <b/>
            <sz val="9"/>
            <color indexed="81"/>
            <rFont val="Tahoma"/>
            <family val="2"/>
          </rPr>
          <t>rev4175:</t>
        </r>
        <r>
          <rPr>
            <sz val="9"/>
            <color indexed="81"/>
            <rFont val="Tahoma"/>
            <family val="2"/>
          </rPr>
          <t xml:space="preserve">
10K page 172 of pdf</t>
        </r>
      </text>
    </comment>
    <comment ref="D21" authorId="0" shapeId="0" xr:uid="{71005D70-9846-40FC-B3DE-CD2673016C2E}">
      <text>
        <r>
          <rPr>
            <b/>
            <sz val="9"/>
            <color indexed="81"/>
            <rFont val="Tahoma"/>
            <family val="2"/>
          </rPr>
          <t>rev4175:</t>
        </r>
        <r>
          <rPr>
            <sz val="9"/>
            <color indexed="81"/>
            <rFont val="Tahoma"/>
            <family val="2"/>
          </rPr>
          <t xml:space="preserve">
2022 Cap Rate Study</t>
        </r>
      </text>
    </comment>
    <comment ref="E21" authorId="0" shapeId="0" xr:uid="{12EA2A3A-5776-4178-BFD7-F8A1C62E4E1D}">
      <text>
        <r>
          <rPr>
            <b/>
            <sz val="9"/>
            <color indexed="81"/>
            <rFont val="Tahoma"/>
            <family val="2"/>
          </rPr>
          <t>rev4175:</t>
        </r>
        <r>
          <rPr>
            <sz val="9"/>
            <color indexed="81"/>
            <rFont val="Tahoma"/>
            <family val="2"/>
          </rPr>
          <t xml:space="preserve">
2022 Cap Rate Study</t>
        </r>
      </text>
    </comment>
    <comment ref="C22" authorId="0" shapeId="0" xr:uid="{108CD8DF-E820-432A-8009-A1B7861D23AB}">
      <text>
        <r>
          <rPr>
            <b/>
            <sz val="9"/>
            <color indexed="81"/>
            <rFont val="Tahoma"/>
            <family val="2"/>
          </rPr>
          <t>rev4175:</t>
        </r>
        <r>
          <rPr>
            <sz val="9"/>
            <color indexed="81"/>
            <rFont val="Tahoma"/>
            <family val="2"/>
          </rPr>
          <t xml:space="preserve">
10K Page 92 of pdf</t>
        </r>
      </text>
    </comment>
    <comment ref="D22" authorId="0" shapeId="0" xr:uid="{A7A06922-F1DC-47E3-B9D3-5B4F54751677}">
      <text>
        <r>
          <rPr>
            <b/>
            <sz val="9"/>
            <color indexed="81"/>
            <rFont val="Tahoma"/>
            <family val="2"/>
          </rPr>
          <t>rev4175:</t>
        </r>
        <r>
          <rPr>
            <sz val="9"/>
            <color indexed="81"/>
            <rFont val="Tahoma"/>
            <family val="2"/>
          </rPr>
          <t xml:space="preserve">
2022 Cap Rate Study</t>
        </r>
      </text>
    </comment>
    <comment ref="E22" authorId="0" shapeId="0" xr:uid="{4E4C939D-C0B3-4E2A-96C7-7C575C5A52F2}">
      <text>
        <r>
          <rPr>
            <b/>
            <sz val="9"/>
            <color indexed="81"/>
            <rFont val="Tahoma"/>
            <family val="2"/>
          </rPr>
          <t>rev4175:</t>
        </r>
        <r>
          <rPr>
            <sz val="9"/>
            <color indexed="81"/>
            <rFont val="Tahoma"/>
            <family val="2"/>
          </rPr>
          <t xml:space="preserve">
2022 Cap Rate Study</t>
        </r>
      </text>
    </comment>
    <comment ref="C23" authorId="0" shapeId="0" xr:uid="{ECD84FB0-9C20-4BB2-8B83-74B0A73B0F69}">
      <text>
        <r>
          <rPr>
            <b/>
            <sz val="9"/>
            <color indexed="81"/>
            <rFont val="Tahoma"/>
            <family val="2"/>
          </rPr>
          <t>rev4175:</t>
        </r>
        <r>
          <rPr>
            <sz val="9"/>
            <color indexed="81"/>
            <rFont val="Tahoma"/>
            <family val="2"/>
          </rPr>
          <t xml:space="preserve">
10K Page 138 of pdf</t>
        </r>
      </text>
    </comment>
    <comment ref="D23" authorId="0" shapeId="0" xr:uid="{8900187E-C5DD-4D63-9194-0E9F35FF5E0A}">
      <text>
        <r>
          <rPr>
            <b/>
            <sz val="9"/>
            <color indexed="81"/>
            <rFont val="Tahoma"/>
            <family val="2"/>
          </rPr>
          <t>rev4175:</t>
        </r>
        <r>
          <rPr>
            <sz val="9"/>
            <color indexed="81"/>
            <rFont val="Tahoma"/>
            <family val="2"/>
          </rPr>
          <t xml:space="preserve">
2022 Cap Rate Study</t>
        </r>
      </text>
    </comment>
    <comment ref="E23" authorId="0" shapeId="0" xr:uid="{D47E0DDD-22D2-4B7B-A29D-C9543AE277BB}">
      <text>
        <r>
          <rPr>
            <b/>
            <sz val="9"/>
            <color indexed="81"/>
            <rFont val="Tahoma"/>
            <family val="2"/>
          </rPr>
          <t>rev4175:</t>
        </r>
        <r>
          <rPr>
            <sz val="9"/>
            <color indexed="81"/>
            <rFont val="Tahoma"/>
            <family val="2"/>
          </rPr>
          <t xml:space="preserve">
2022 Cap Rate Study</t>
        </r>
      </text>
    </comment>
    <comment ref="C24" authorId="0" shapeId="0" xr:uid="{D60A3801-71E7-487E-91B7-AACC02C9758A}">
      <text>
        <r>
          <rPr>
            <b/>
            <sz val="9"/>
            <color indexed="81"/>
            <rFont val="Tahoma"/>
            <family val="2"/>
          </rPr>
          <t>rev4175:</t>
        </r>
        <r>
          <rPr>
            <sz val="9"/>
            <color indexed="81"/>
            <rFont val="Tahoma"/>
            <family val="2"/>
          </rPr>
          <t xml:space="preserve">
10K Page 138 of pdf</t>
        </r>
      </text>
    </comment>
    <comment ref="D24" authorId="0" shapeId="0" xr:uid="{872C2E34-E091-4B15-B77F-AD84C9D2ED5A}">
      <text>
        <r>
          <rPr>
            <b/>
            <sz val="9"/>
            <color indexed="81"/>
            <rFont val="Tahoma"/>
            <family val="2"/>
          </rPr>
          <t>rev4175:</t>
        </r>
        <r>
          <rPr>
            <sz val="9"/>
            <color indexed="81"/>
            <rFont val="Tahoma"/>
            <family val="2"/>
          </rPr>
          <t xml:space="preserve">
2022 Cap Rate Study</t>
        </r>
      </text>
    </comment>
    <comment ref="E24" authorId="0" shapeId="0" xr:uid="{55FBA43A-9EE3-4B9B-87C9-53EC2E032543}">
      <text>
        <r>
          <rPr>
            <b/>
            <sz val="9"/>
            <color indexed="81"/>
            <rFont val="Tahoma"/>
            <family val="2"/>
          </rPr>
          <t>rev4175:</t>
        </r>
        <r>
          <rPr>
            <sz val="9"/>
            <color indexed="81"/>
            <rFont val="Tahoma"/>
            <family val="2"/>
          </rPr>
          <t xml:space="preserve">
2022 Cap Rate Study</t>
        </r>
      </text>
    </comment>
    <comment ref="C25" authorId="0" shapeId="0" xr:uid="{9D3A5841-C020-47BA-AED2-E9E2FB0843F8}">
      <text>
        <r>
          <rPr>
            <b/>
            <sz val="9"/>
            <color indexed="81"/>
            <rFont val="Tahoma"/>
            <family val="2"/>
          </rPr>
          <t>rev4175:</t>
        </r>
        <r>
          <rPr>
            <sz val="9"/>
            <color indexed="81"/>
            <rFont val="Tahoma"/>
            <family val="2"/>
          </rPr>
          <t xml:space="preserve">
10K Page 58 of pdf</t>
        </r>
      </text>
    </comment>
    <comment ref="D25" authorId="0" shapeId="0" xr:uid="{18B52790-2383-4E42-A82C-543614FE67F2}">
      <text>
        <r>
          <rPr>
            <b/>
            <sz val="9"/>
            <color indexed="81"/>
            <rFont val="Tahoma"/>
            <family val="2"/>
          </rPr>
          <t>rev4175:</t>
        </r>
        <r>
          <rPr>
            <sz val="9"/>
            <color indexed="81"/>
            <rFont val="Tahoma"/>
            <family val="2"/>
          </rPr>
          <t xml:space="preserve">
2022 Cap Rate Study</t>
        </r>
      </text>
    </comment>
    <comment ref="E25" authorId="0" shapeId="0" xr:uid="{2DAF7CEB-40B6-4163-8A6B-3B92F708C706}">
      <text>
        <r>
          <rPr>
            <b/>
            <sz val="9"/>
            <color indexed="81"/>
            <rFont val="Tahoma"/>
            <family val="2"/>
          </rPr>
          <t>rev4175:</t>
        </r>
        <r>
          <rPr>
            <sz val="9"/>
            <color indexed="81"/>
            <rFont val="Tahoma"/>
            <family val="2"/>
          </rPr>
          <t xml:space="preserve">
2022 Cap Rate Study</t>
        </r>
      </text>
    </comment>
    <comment ref="C26" authorId="0" shapeId="0" xr:uid="{8D4CFFBC-6B8D-4D55-9275-66D63413318E}">
      <text>
        <r>
          <rPr>
            <b/>
            <sz val="9"/>
            <color indexed="81"/>
            <rFont val="Tahoma"/>
            <family val="2"/>
          </rPr>
          <t>rev4175:</t>
        </r>
        <r>
          <rPr>
            <sz val="9"/>
            <color indexed="81"/>
            <rFont val="Tahoma"/>
            <family val="2"/>
          </rPr>
          <t xml:space="preserve">
40F Page 3 of pdf</t>
        </r>
      </text>
    </comment>
    <comment ref="D26" authorId="0" shapeId="0" xr:uid="{73F5931F-035F-4F32-8CD4-FE9C5E9D043D}">
      <text>
        <r>
          <rPr>
            <b/>
            <sz val="9"/>
            <color indexed="81"/>
            <rFont val="Tahoma"/>
            <family val="2"/>
          </rPr>
          <t>rev4175:</t>
        </r>
        <r>
          <rPr>
            <sz val="9"/>
            <color indexed="81"/>
            <rFont val="Tahoma"/>
            <family val="2"/>
          </rPr>
          <t xml:space="preserve">
2022 Cap Rate Study</t>
        </r>
      </text>
    </comment>
    <comment ref="E26" authorId="0" shapeId="0" xr:uid="{6B8D3F07-6DFC-4A94-9F4D-575918C421F7}">
      <text>
        <r>
          <rPr>
            <b/>
            <sz val="9"/>
            <color indexed="81"/>
            <rFont val="Tahoma"/>
            <family val="2"/>
          </rPr>
          <t>rev4175:</t>
        </r>
        <r>
          <rPr>
            <sz val="9"/>
            <color indexed="81"/>
            <rFont val="Tahoma"/>
            <family val="2"/>
          </rPr>
          <t xml:space="preserve">
2022 Cap Rate Study</t>
        </r>
      </text>
    </comment>
    <comment ref="C27" authorId="0" shapeId="0" xr:uid="{5F5096D3-78C5-4CE3-AB5B-7B3EC9F69567}">
      <text>
        <r>
          <rPr>
            <b/>
            <sz val="9"/>
            <color indexed="81"/>
            <rFont val="Tahoma"/>
            <family val="2"/>
          </rPr>
          <t>rev4175:</t>
        </r>
        <r>
          <rPr>
            <sz val="9"/>
            <color indexed="81"/>
            <rFont val="Tahoma"/>
            <family val="2"/>
          </rPr>
          <t xml:space="preserve">
10K Page 53 of pdf</t>
        </r>
      </text>
    </comment>
    <comment ref="D27" authorId="0" shapeId="0" xr:uid="{4C96F974-5121-4C71-AB7E-C6E92E2B78DA}">
      <text>
        <r>
          <rPr>
            <b/>
            <sz val="9"/>
            <color indexed="81"/>
            <rFont val="Tahoma"/>
            <family val="2"/>
          </rPr>
          <t>rev4175:</t>
        </r>
        <r>
          <rPr>
            <sz val="9"/>
            <color indexed="81"/>
            <rFont val="Tahoma"/>
            <family val="2"/>
          </rPr>
          <t xml:space="preserve">
2022 Cap Rate Study</t>
        </r>
      </text>
    </comment>
    <comment ref="E27" authorId="0" shapeId="0" xr:uid="{92F11992-29F7-4958-8478-BD21479079DC}">
      <text>
        <r>
          <rPr>
            <b/>
            <sz val="9"/>
            <color indexed="81"/>
            <rFont val="Tahoma"/>
            <family val="2"/>
          </rPr>
          <t>rev4175:</t>
        </r>
        <r>
          <rPr>
            <sz val="9"/>
            <color indexed="81"/>
            <rFont val="Tahoma"/>
            <family val="2"/>
          </rPr>
          <t xml:space="preserve">
2022 Cap Rate Study</t>
        </r>
      </text>
    </comment>
  </commentList>
</comments>
</file>

<file path=xl/sharedStrings.xml><?xml version="1.0" encoding="utf-8"?>
<sst xmlns="http://schemas.openxmlformats.org/spreadsheetml/2006/main" count="1581" uniqueCount="515">
  <si>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</si>
  <si>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</si>
  <si>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</si>
  <si>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</si>
  <si>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</si>
  <si>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</si>
  <si>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</si>
  <si>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</si>
  <si>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</si>
  <si>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</si>
  <si>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</si>
  <si>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</si>
  <si>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</si>
  <si>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</si>
  <si>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</si>
  <si>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</si>
  <si>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</si>
  <si>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</si>
  <si>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</si>
  <si>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</si>
  <si>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</si>
  <si>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</si>
  <si>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</si>
  <si>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</si>
  <si>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</si>
  <si>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</si>
  <si>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</si>
  <si>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</si>
  <si>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</si>
  <si>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</si>
  <si>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</si>
  <si>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</si>
  <si>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</si>
  <si>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</si>
  <si>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</si>
  <si>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</si>
  <si>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</si>
  <si>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</si>
  <si>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</si>
  <si>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</si>
  <si>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</si>
  <si>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</si>
  <si>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</si>
  <si>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</si>
  <si>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A+</t>
  </si>
  <si>
    <t xml:space="preserve">  </t>
  </si>
  <si>
    <t>High</t>
  </si>
  <si>
    <t>Low</t>
  </si>
  <si>
    <t>Mergent Bond</t>
  </si>
  <si>
    <t>Rating</t>
  </si>
  <si>
    <t>Debt Rate</t>
  </si>
  <si>
    <t>S &amp; P</t>
  </si>
  <si>
    <t>% LT Debt &amp; Pref Stock</t>
  </si>
  <si>
    <t>Baa1</t>
  </si>
  <si>
    <t>Baa2</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</si>
  <si>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</si>
  <si>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</si>
  <si>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</si>
  <si>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</si>
  <si>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</si>
  <si>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</si>
  <si>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</si>
  <si>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</si>
  <si>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</si>
  <si>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</si>
  <si>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</si>
  <si>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</si>
  <si>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</si>
  <si>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</si>
  <si>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</si>
  <si>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</si>
  <si>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</si>
  <si>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</si>
  <si>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</si>
  <si>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</si>
  <si>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</si>
  <si>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</si>
  <si>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</si>
  <si>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</si>
  <si>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</si>
  <si>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</si>
  <si>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</si>
  <si>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</si>
  <si>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</si>
  <si>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</si>
  <si>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</si>
  <si>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</si>
  <si>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</si>
  <si>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</si>
  <si>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</si>
  <si>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</si>
  <si>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</si>
  <si>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</si>
  <si>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</si>
  <si>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</si>
  <si>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</si>
  <si>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</si>
  <si>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</si>
  <si>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</si>
  <si>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</si>
  <si>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</si>
  <si>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</si>
  <si>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</si>
  <si>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</si>
  <si>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</si>
  <si>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</si>
  <si>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</si>
  <si>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</si>
  <si>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</si>
  <si>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</si>
  <si>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</si>
  <si>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</si>
  <si>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</si>
  <si>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</si>
  <si>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</si>
  <si>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</si>
  <si>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</si>
  <si>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</si>
  <si>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</si>
  <si>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</si>
  <si>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</si>
  <si>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</si>
  <si>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</si>
  <si>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</si>
  <si>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</si>
  <si>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</si>
  <si>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</si>
  <si>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</si>
  <si>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</si>
  <si>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</si>
  <si>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</si>
  <si>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</si>
  <si>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</si>
  <si>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</si>
  <si>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</si>
  <si>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</si>
  <si>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</si>
  <si>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</si>
  <si>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</si>
  <si>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</si>
  <si>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</si>
  <si>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</si>
  <si>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</si>
  <si>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</si>
  <si>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</si>
  <si>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</si>
  <si>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</si>
  <si>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</si>
  <si>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</si>
  <si>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</si>
  <si>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</si>
  <si>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</si>
  <si>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</si>
  <si>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</si>
  <si>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</si>
  <si>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</si>
  <si>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</si>
  <si>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xml:space="preserve">** Debt includes  LT Debt , Current portion of LT Debt, and Finance leases from 10K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</si>
  <si>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</si>
  <si>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</si>
  <si>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</si>
  <si>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</si>
  <si>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</si>
  <si>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</si>
  <si>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</si>
  <si>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</si>
  <si>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</si>
  <si>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</si>
  <si>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</si>
  <si>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</si>
  <si>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</si>
  <si>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</si>
  <si>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</si>
  <si>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</si>
  <si>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</si>
  <si>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</si>
  <si>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Earnings</t>
  </si>
  <si>
    <t>Equity</t>
  </si>
  <si>
    <t>Equity Rate</t>
  </si>
  <si>
    <t>(F+G)</t>
  </si>
  <si>
    <t>(F+H)</t>
  </si>
  <si>
    <t xml:space="preserve">Yield Equity Rate - DGM (Dividend Growth) &amp; DGM (Earnings Growth)  </t>
  </si>
  <si>
    <t>Dividend Yield</t>
  </si>
  <si>
    <t xml:space="preserve">Projected Short Term </t>
  </si>
  <si>
    <t>DGM - Earnings Growth Rate &gt;</t>
  </si>
  <si>
    <t>DGM - Dividend Growth Rate &gt;</t>
  </si>
  <si>
    <t>Yield Equity Rate - DGM (Two-Stage)</t>
  </si>
  <si>
    <t>Stable</t>
  </si>
  <si>
    <t>Growth Rate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</si>
  <si>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</si>
  <si>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</si>
  <si>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</si>
  <si>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</si>
  <si>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</si>
  <si>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</si>
  <si>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</si>
  <si>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</si>
  <si>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</si>
  <si>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</si>
  <si>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</si>
  <si>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</si>
  <si>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</si>
  <si>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</si>
  <si>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</si>
  <si>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</si>
  <si>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</si>
  <si>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</si>
  <si>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</si>
  <si>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</si>
  <si>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</si>
  <si>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</si>
  <si>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</si>
  <si>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</si>
  <si>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</si>
  <si>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</si>
  <si>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</si>
  <si>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</si>
  <si>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</si>
  <si>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</si>
  <si>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</si>
  <si>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</si>
  <si>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</si>
  <si>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</si>
  <si>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</si>
  <si>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</si>
  <si>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</si>
  <si>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</si>
  <si>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</si>
  <si>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</si>
  <si>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</si>
  <si>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</si>
  <si>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</si>
  <si>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</si>
  <si>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</si>
  <si>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</si>
  <si>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</si>
  <si>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</si>
  <si>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</si>
  <si>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</si>
  <si>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</si>
  <si>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</si>
  <si>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</si>
  <si>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</si>
  <si>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</si>
  <si>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</si>
  <si>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</si>
  <si>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</si>
  <si>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r>
      <t xml:space="preserve">NOPAT CASH FLOW MULTIPLE &amp; EQUITY RATE </t>
    </r>
    <r>
      <rPr>
        <b/>
        <sz val="12"/>
        <color theme="1"/>
        <rFont val="Microsoft GothicNeo"/>
        <family val="2"/>
        <charset val="129"/>
      </rPr>
      <t>(LT 25-27 Yr Projected VL)</t>
    </r>
  </si>
  <si>
    <t>VL LT Projected NOI</t>
  </si>
  <si>
    <t>Indicated Rate of Debt &gt;</t>
  </si>
  <si>
    <t>Year End</t>
  </si>
  <si>
    <t>&amp; Finance Leases</t>
  </si>
  <si>
    <t>10K Income Statement</t>
  </si>
  <si>
    <t>10K Balance Sheet</t>
  </si>
  <si>
    <t>Indicated Rate of Equity Selected &gt;</t>
  </si>
  <si>
    <t>NOTE:</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</si>
  <si>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</si>
  <si>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</si>
  <si>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</si>
  <si>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</si>
  <si>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</si>
  <si>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</si>
  <si>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</si>
  <si>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</si>
  <si>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</si>
  <si>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</si>
  <si>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</si>
  <si>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</si>
  <si>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</si>
  <si>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</si>
  <si>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</si>
  <si>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</si>
  <si>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</si>
  <si>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</si>
  <si>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</si>
  <si>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</si>
  <si>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</si>
  <si>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</si>
  <si>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</si>
  <si>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</si>
  <si>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</si>
  <si>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</si>
  <si>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</si>
  <si>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</si>
  <si>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</si>
  <si>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</si>
  <si>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</si>
  <si>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</si>
  <si>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</si>
  <si>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</si>
  <si>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</si>
  <si>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</si>
  <si>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</si>
  <si>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</si>
  <si>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</si>
  <si>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</si>
  <si>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</si>
  <si>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</si>
  <si>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</si>
  <si>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</si>
  <si>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</si>
  <si>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</si>
  <si>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</si>
  <si>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</si>
  <si>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</si>
  <si>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</si>
  <si>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</si>
  <si>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</si>
  <si>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</si>
  <si>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</si>
  <si>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</si>
  <si>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</si>
  <si>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</si>
  <si>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</si>
  <si>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</si>
  <si>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</si>
  <si>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</si>
  <si>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</si>
  <si>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</si>
  <si>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</si>
  <si>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</si>
  <si>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</si>
  <si>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</si>
  <si>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</si>
  <si>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</si>
  <si>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</si>
  <si>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</si>
  <si>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 Market value of operating leases for all companies including the airlines and railroads</t>
  </si>
  <si>
    <t>Companies excluded from the study &gt;</t>
  </si>
  <si>
    <r>
      <t>K</t>
    </r>
    <r>
      <rPr>
        <b/>
        <sz val="10"/>
        <color theme="1"/>
        <rFont val="Microsoft GothicNeo"/>
        <family val="2"/>
        <charset val="129"/>
      </rPr>
      <t>E</t>
    </r>
    <r>
      <rPr>
        <b/>
        <sz val="16"/>
        <color theme="1"/>
        <rFont val="Microsoft GothicNeo"/>
        <family val="2"/>
        <charset val="129"/>
      </rPr>
      <t xml:space="preserve"> = (DY  X  (1+ .5(G)))  + .67(G1)  +  .33(g)</t>
    </r>
  </si>
  <si>
    <t>G   = Average growth rate</t>
  </si>
  <si>
    <t>G1 = Short term growth estimate</t>
  </si>
  <si>
    <t>DY = Dividend Yield     See ValueLine</t>
  </si>
  <si>
    <t>g   = Stable Growth - Nominal growth rate</t>
  </si>
  <si>
    <t>AA+</t>
  </si>
  <si>
    <t>AAA</t>
  </si>
  <si>
    <t>AA</t>
  </si>
  <si>
    <t>Obligations rated Aa are judged to be of high quality, with minimal risk.</t>
  </si>
  <si>
    <t>AA-</t>
  </si>
  <si>
    <t>BBB+</t>
  </si>
  <si>
    <t>BBB</t>
  </si>
  <si>
    <t>BBB-</t>
  </si>
  <si>
    <t>BB+</t>
  </si>
  <si>
    <t>BB</t>
  </si>
  <si>
    <t>BB-</t>
  </si>
  <si>
    <t>B-</t>
  </si>
  <si>
    <t>CCC+</t>
  </si>
  <si>
    <t>CCC</t>
  </si>
  <si>
    <t>CCC-</t>
  </si>
  <si>
    <t>CC</t>
  </si>
  <si>
    <t>Scale</t>
  </si>
  <si>
    <t>Retained to</t>
  </si>
  <si>
    <t>Shareholders Equity</t>
  </si>
  <si>
    <t>Retained to Common Equity -- Net profit less all common and preferred dividends divided by common equity including intangible assets, expressed as a percentage.  Also known as the plowback ratio.</t>
  </si>
  <si>
    <t>Return on Shareholders Equity -- Annual net profit divided by year-end shareholders equity, expressed as a percentage.</t>
  </si>
  <si>
    <t>Ca1</t>
  </si>
  <si>
    <t>Ca2</t>
  </si>
  <si>
    <t>Ca3</t>
  </si>
  <si>
    <t>CC+</t>
  </si>
  <si>
    <t>CC-</t>
  </si>
  <si>
    <t>AAA-</t>
  </si>
  <si>
    <t>AAA+</t>
  </si>
  <si>
    <t>Aaa1</t>
  </si>
  <si>
    <t>Aaa2</t>
  </si>
  <si>
    <t>Aaa3</t>
  </si>
  <si>
    <t>Share</t>
  </si>
  <si>
    <t>Gross Revenues</t>
  </si>
  <si>
    <t>NOPAT Earnings</t>
  </si>
  <si>
    <t>The purpose of this ratio is to test whether the market price is worth more (or less) than the cost of the assets.</t>
  </si>
  <si>
    <t>If the result is greater than one(1), it indicates the market value exceeds book value and can often be used as a sign of competent management.</t>
  </si>
  <si>
    <t>The higher the return on revenue the higher the price to revenue will be.</t>
  </si>
  <si>
    <t>Cash flow is typically defined to be net income plus depreciation and amortization.</t>
  </si>
  <si>
    <t xml:space="preserve">This measure is considered relevant for companies with high non-cash charges reflected in the income statement.  Non-cash charges include depreciation &amp; amortization, goodwill impairments, asset write downs, </t>
  </si>
  <si>
    <t>stock based compensation, and deferred income taxes and investment tax credits.</t>
  </si>
  <si>
    <t>P/E Ratio - Long Term Projection NOPAT</t>
  </si>
  <si>
    <t>CS+LTD +PS + OL</t>
  </si>
  <si>
    <t>&amp; Op Leases</t>
  </si>
  <si>
    <t xml:space="preserve">For rate based companies, the maximum allowed  'rate of return' established by state regulators is not comparable (a mismatch) to the 'cost of equity' calculated above.   </t>
  </si>
  <si>
    <t xml:space="preserve">(6) &amp; (7) Business Valuation Resources, Cost of Capital Professional. (2023). Historical ERP, using arithmetic mean and 20-Year Treasury Securities. </t>
  </si>
  <si>
    <t>Earnings Growth = DY + EG</t>
  </si>
  <si>
    <t>Dividend Growth = DY + DG</t>
  </si>
  <si>
    <t>EG = Earnings Growth</t>
  </si>
  <si>
    <t>DG = Dividend Growth</t>
  </si>
  <si>
    <t>DY = Dividend Yield</t>
  </si>
  <si>
    <t>G = Projected Growth (Earnings Per Share 5 Yr Growth Rate)</t>
  </si>
  <si>
    <t>G = Projected Growth (Div. 5 Yr Growth Rate)</t>
  </si>
  <si>
    <t>DCP Midstream LP</t>
  </si>
  <si>
    <t>DCP</t>
  </si>
  <si>
    <t>Pipeline MLPs</t>
  </si>
  <si>
    <t>Energy Transfer LP</t>
  </si>
  <si>
    <t>ET</t>
  </si>
  <si>
    <t>Enterprise Products Partnership LP</t>
  </si>
  <si>
    <t>EPD</t>
  </si>
  <si>
    <t>Companies to consider in the study &gt;</t>
  </si>
  <si>
    <t>Dec. 31, 2022</t>
  </si>
  <si>
    <t>General Partner Units</t>
  </si>
  <si>
    <t>nmf</t>
  </si>
  <si>
    <t>C+</t>
  </si>
  <si>
    <t>Gross Book Value Equity</t>
  </si>
  <si>
    <t>GROSS REVENUE &amp; GROSS BOOK (EQUITY) MULTIPLES</t>
  </si>
  <si>
    <t>Multiple *</t>
  </si>
  <si>
    <t>* This multiple is applicable to service type companies, or those with few assets.  These companies sell at prices related to their revenues.</t>
  </si>
  <si>
    <t>** The book value, or common equity, per share is total owners' equity minus preferred stock divided by the number of common shares outstanding.</t>
  </si>
  <si>
    <t xml:space="preserve">Property, Plant &amp; Equipment includes CWIP, but should exclude intangibles and the associated amortization.  </t>
  </si>
  <si>
    <t>Common Total Equity excludes 'noncontrolling interests' equity value.</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</si>
  <si>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</si>
  <si>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</si>
  <si>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</si>
  <si>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</si>
  <si>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Federal Reserve Statistical release - Inflation Protected Treasury Indexed Securities - 10 Year  (1)</t>
  </si>
  <si>
    <t xml:space="preserve">Federal Reserve Statistical release - Inflation Protected Treasury Indexed Securities - 20 Year  (1) </t>
  </si>
  <si>
    <t xml:space="preserve">Federal Reserve Statistical release - Inflation Protected Treasury Indexed Securities - 30 Year (1) </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</si>
  <si>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</si>
  <si>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</si>
  <si>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</si>
  <si>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t>5 Yr  Dec 30 2022</t>
  </si>
  <si>
    <t>10 Yr  Dec 30 2022</t>
  </si>
  <si>
    <t>3.88 - 1.58 = 2.30</t>
  </si>
  <si>
    <t>20 Yr  Dec 30 2022</t>
  </si>
  <si>
    <t>4.14 - 1.61 = 2.53</t>
  </si>
  <si>
    <t>30 Yr  Dec 30 2022</t>
  </si>
  <si>
    <t>3.97 - 1.66 = 2.31</t>
  </si>
  <si>
    <t>3.99 - 1.63 = 2.36</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</si>
  <si>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</si>
  <si>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Mergent Rating</t>
  </si>
  <si>
    <t>Projected 1 Yr</t>
  </si>
  <si>
    <t>Earnings Per Share Growth Rate</t>
  </si>
  <si>
    <t>Estimated 20-22 to 26-28</t>
  </si>
  <si>
    <t>Enbridge Inc</t>
  </si>
  <si>
    <t>ENB.TO</t>
  </si>
  <si>
    <t>Oil &amp; Gas Distribution</t>
  </si>
  <si>
    <t>Enlink Midstream LLC</t>
  </si>
  <si>
    <t>ENLC</t>
  </si>
  <si>
    <t>Kinder Morgan Inc</t>
  </si>
  <si>
    <t>KMI</t>
  </si>
  <si>
    <t>ONEOK Inc</t>
  </si>
  <si>
    <t>OKE</t>
  </si>
  <si>
    <t>TC Energy Corp</t>
  </si>
  <si>
    <t>TRP</t>
  </si>
  <si>
    <t>Williams Companys Inc</t>
  </si>
  <si>
    <t>WMB</t>
  </si>
  <si>
    <t>Canadian Conversion = .7369 USD</t>
  </si>
  <si>
    <t>Antero Midstream Corp (AM) - This company is engaged in gas gathering, processing, well clean-up, compression, and well completion operations</t>
  </si>
  <si>
    <t>Clean Energy Fuels (CLNE) - Provides compressed gas to service stations and gas leased vehicles.</t>
  </si>
  <si>
    <t>Pembina Pipeline (PPL.TO) Candian location.  Does have pipelines for gas &amp; oil tranportation in western Canada.</t>
  </si>
  <si>
    <t>World Fuel Services (INT) - This company sells marine and aviation fuel products.</t>
  </si>
  <si>
    <t>Companies added to the study &gt;</t>
  </si>
  <si>
    <t>Cheniere Energy - LNG business.  Pipelines in the Gulf coast area</t>
  </si>
  <si>
    <t>Per Share  or Unit**</t>
  </si>
  <si>
    <t>Nil</t>
  </si>
  <si>
    <t>US Dollars</t>
  </si>
  <si>
    <t xml:space="preserve">Risk Free Rate (Rf) </t>
  </si>
  <si>
    <t>CAPM - Ex Ante, Three Stage - V1</t>
  </si>
  <si>
    <t>CAPM - Ex Ante, Three Stage - V2</t>
  </si>
  <si>
    <t>Empirical CAPM - Ex Ante, Three Stage - V1</t>
  </si>
  <si>
    <t>Empirical CAPM - Ex Ante, Three Stage - V2</t>
  </si>
  <si>
    <t>Three Stage Ex Ante  Version 1  (1) (2)</t>
  </si>
  <si>
    <t>Three Stage Ex Ante  Version 2   (1) (2)</t>
  </si>
  <si>
    <t xml:space="preserve">(8) KROLL, Cost of Capital Navigator. (2023). </t>
  </si>
  <si>
    <t>Harmonic Mean</t>
  </si>
  <si>
    <t>Mean</t>
  </si>
  <si>
    <t xml:space="preserve">S&amp;P Rating </t>
  </si>
  <si>
    <t>Corporate 4th Qtr Avg</t>
  </si>
  <si>
    <t>Utility 4th Qtr Avg</t>
  </si>
  <si>
    <t>A market to book ratio over one would be an indication of no obsolescence.</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</si>
  <si>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</si>
  <si>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</si>
  <si>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</si>
  <si>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</si>
  <si>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</si>
  <si>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</si>
  <si>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</si>
  <si>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</si>
  <si>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</si>
  <si>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Empirical CAPM - S&amp;P Global Market</t>
  </si>
  <si>
    <t>CAPM - S&amp;P Global Market</t>
  </si>
  <si>
    <t>Natural Gas Transmission Pipeline Carrier</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</si>
  <si>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</si>
  <si>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</si>
  <si>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</si>
  <si>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</si>
  <si>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</si>
  <si>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</si>
  <si>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</si>
  <si>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</si>
  <si>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</si>
  <si>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</si>
  <si>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</si>
  <si>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</si>
  <si>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</si>
  <si>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</si>
  <si>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</si>
  <si>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</si>
  <si>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</si>
  <si>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</si>
  <si>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Damodaran Implied ERP Ex Ante   Avg CF Yield Last 10 Yrs (3)</t>
  </si>
  <si>
    <t>P. Fernandez, T. Garcia de Santos &amp; J.F.Acin  (5)</t>
  </si>
  <si>
    <t xml:space="preserve">(4) The CFO Survey (2022). Data &amp; Results December 2, 2022. Mean average annual S&amp;P return over next ten years (8.5%) less annual yield on 10-year Treasury Bonds. </t>
  </si>
  <si>
    <t xml:space="preserve">(5) Fernandez, P., Garcia de Santos, T., &amp; Acin, J. F. (2022). Survey: Market Risk Premium and Risk-Free Rate Used for 95 Countries in 2022. 1591 US ERP only respondents.  SSRN Electronic Journal. </t>
  </si>
  <si>
    <t>CAPM - Ex Ante  Damodaran Avg CF Yield Last 10 Yrs</t>
  </si>
  <si>
    <t>Empirical CAPM - Ex Ante  Damodaran Avg CF Yield Last 10 Yrs</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</si>
  <si>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</si>
  <si>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</si>
  <si>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</si>
  <si>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</si>
  <si>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</si>
  <si>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</si>
  <si>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</si>
  <si>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</si>
  <si>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</si>
  <si>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</si>
  <si>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Federal Reserve Bank of Philadelphia  /Survey of Professional Forecasters  Mean (3)</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</si>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</sst>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_(* #,##0.000_);_(* \(#,##0.000\);_(* &quot;-&quot;??_);_(@_)"/>
    <numFmt numFmtId="168" formatCode="0.000%"/>
  </numFmts>
  <fonts count="70">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26"/>
      <color theme="1"/>
      <name val="Calibri"/>
      <family val="2"/>
      <scheme val="minor"/>
    </font>
    <font>
      <sz val="26"/>
      <color theme="1"/>
      <name val="Calibri"/>
      <family val="2"/>
      <scheme val="minor"/>
    </font>
    <font>
      <b/>
      <sz val="11"/>
      <name val="Calibri"/>
      <family val="2"/>
      <scheme val="minor"/>
    </font>
    <font>
      <sz val="9"/>
      <color indexed="81"/>
      <name val="Tahoma"/>
      <family val="2"/>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b/>
      <i/>
      <sz val="18"/>
      <color rgb="FF0000CC"/>
      <name val="Microsoft GothicNeo"/>
      <family val="2"/>
      <charset val="129"/>
    </font>
    <font>
      <sz val="12"/>
      <color rgb="FF000000"/>
      <name val="Microsoft GothicNeo"/>
      <family val="2"/>
      <charset val="129"/>
    </font>
    <font>
      <b/>
      <sz val="9"/>
      <color indexed="81"/>
      <name val="Tahoma"/>
      <family val="2"/>
    </font>
    <font>
      <sz val="11"/>
      <name val="Calibri"/>
      <family val="2"/>
      <scheme val="minor"/>
    </font>
    <font>
      <b/>
      <sz val="12"/>
      <color rgb="FF000000"/>
      <name val="Microsoft GothicNeo"/>
      <family val="2"/>
      <charset val="129"/>
    </font>
    <font>
      <b/>
      <i/>
      <sz val="14"/>
      <color theme="1"/>
      <name val="Calibri"/>
      <family val="2"/>
      <scheme val="minor"/>
    </font>
    <font>
      <u/>
      <sz val="11"/>
      <color rgb="FF0000CC"/>
      <name val="Calibri"/>
      <family val="2"/>
      <scheme val="minor"/>
    </font>
    <font>
      <b/>
      <sz val="9"/>
      <name val="Microsoft GothicNeo"/>
      <family val="2"/>
      <charset val="129"/>
    </font>
    <font>
      <i/>
      <sz val="12"/>
      <color theme="1"/>
      <name val="Microsoft GothicNeo"/>
      <family val="2"/>
      <charset val="129"/>
    </font>
    <font>
      <b/>
      <sz val="11"/>
      <color rgb="FFE26B0A"/>
      <name val="Microsoft GothicNeo"/>
      <family val="2"/>
      <charset val="129"/>
    </font>
    <font>
      <b/>
      <sz val="18"/>
      <name val="Microsoft GothicNeo"/>
      <family val="2"/>
      <charset val="129"/>
    </font>
  </fonts>
  <fills count="6">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41">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7" fillId="0" borderId="0"/>
    <xf numFmtId="0" fontId="17" fillId="0" borderId="0"/>
    <xf numFmtId="0" fontId="18" fillId="0" borderId="0" applyNumberFormat="0" applyFill="0" applyBorder="0" applyAlignment="0" applyProtection="0"/>
  </cellStyleXfs>
  <cellXfs count="471">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0" fontId="19" fillId="4" borderId="0" xfId="0" applyFont="1" applyFill="1"/>
    <xf numFmtId="0" fontId="19" fillId="0" borderId="0" xfId="0" applyFont="1"/>
    <xf numFmtId="0" fontId="19" fillId="0" borderId="0" xfId="0" applyFont="1" applyAlignment="1">
      <alignment horizontal="center"/>
    </xf>
    <xf numFmtId="0" fontId="21" fillId="0" borderId="0" xfId="0" applyFont="1" applyAlignment="1">
      <alignment horizontal="right"/>
    </xf>
    <xf numFmtId="43" fontId="22" fillId="0" borderId="0" xfId="1" applyFont="1" applyAlignment="1">
      <alignment horizontal="right" vertical="center"/>
    </xf>
    <xf numFmtId="43" fontId="22" fillId="0" borderId="0" xfId="1" applyFont="1" applyFill="1" applyAlignment="1">
      <alignment horizontal="right" vertical="center"/>
    </xf>
    <xf numFmtId="43" fontId="21" fillId="0" borderId="0" xfId="1" applyFont="1" applyFill="1" applyAlignment="1">
      <alignment horizontal="right"/>
    </xf>
    <xf numFmtId="43" fontId="21" fillId="0" borderId="0" xfId="1" applyFont="1" applyFill="1" applyAlignment="1">
      <alignment horizontal="center"/>
    </xf>
    <xf numFmtId="43" fontId="21" fillId="0" borderId="0" xfId="1" applyFont="1" applyFill="1" applyAlignment="1">
      <alignment horizontal="center" vertical="center"/>
    </xf>
    <xf numFmtId="43" fontId="21" fillId="0" borderId="0" xfId="1" applyFont="1" applyFill="1" applyBorder="1" applyAlignment="1">
      <alignment horizontal="center" vertical="center"/>
    </xf>
    <xf numFmtId="43" fontId="21" fillId="0" borderId="0" xfId="1" applyFont="1" applyFill="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15" xfId="0" applyFont="1" applyBorder="1"/>
    <xf numFmtId="0" fontId="19" fillId="0" borderId="2" xfId="0" applyFont="1" applyBorder="1"/>
    <xf numFmtId="0" fontId="27" fillId="0" borderId="2" xfId="0" applyFont="1" applyBorder="1"/>
    <xf numFmtId="0" fontId="28" fillId="0" borderId="0" xfId="0" applyFont="1"/>
    <xf numFmtId="0" fontId="24" fillId="0" borderId="0" xfId="0" applyFont="1" applyAlignment="1">
      <alignment horizontal="center"/>
    </xf>
    <xf numFmtId="0" fontId="29" fillId="0" borderId="2" xfId="0" applyFont="1" applyBorder="1" applyAlignment="1">
      <alignment horizontal="center"/>
    </xf>
    <xf numFmtId="0" fontId="30" fillId="0" borderId="2" xfId="0" applyFont="1" applyBorder="1" applyAlignment="1">
      <alignment horizontal="center"/>
    </xf>
    <xf numFmtId="0" fontId="21" fillId="0" borderId="0" xfId="0" applyFont="1" applyAlignment="1">
      <alignment horizontal="center"/>
    </xf>
    <xf numFmtId="0" fontId="29" fillId="0" borderId="0" xfId="0" applyFont="1" applyAlignment="1">
      <alignment horizontal="center"/>
    </xf>
    <xf numFmtId="0" fontId="21" fillId="0" borderId="2" xfId="0" applyFont="1" applyBorder="1" applyAlignment="1">
      <alignment horizontal="center"/>
    </xf>
    <xf numFmtId="0" fontId="31" fillId="0" borderId="2" xfId="0" applyFont="1" applyBorder="1" applyAlignment="1">
      <alignment horizontal="center"/>
    </xf>
    <xf numFmtId="0" fontId="30" fillId="0" borderId="1" xfId="0" applyFont="1" applyBorder="1" applyAlignment="1">
      <alignment horizontal="center"/>
    </xf>
    <xf numFmtId="0" fontId="32" fillId="0" borderId="1" xfId="0" applyFont="1" applyBorder="1" applyAlignment="1">
      <alignment horizontal="center"/>
    </xf>
    <xf numFmtId="0" fontId="30" fillId="0" borderId="0" xfId="0" applyFont="1" applyAlignment="1">
      <alignment horizontal="center"/>
    </xf>
    <xf numFmtId="0" fontId="33" fillId="0" borderId="2" xfId="0" applyFont="1" applyBorder="1" applyAlignment="1">
      <alignment horizontal="center"/>
    </xf>
    <xf numFmtId="0" fontId="35" fillId="0" borderId="1" xfId="0" applyFont="1" applyBorder="1" applyAlignment="1">
      <alignment horizontal="center"/>
    </xf>
    <xf numFmtId="0" fontId="21" fillId="0" borderId="0" xfId="0" applyFont="1"/>
    <xf numFmtId="166" fontId="22" fillId="0" borderId="0" xfId="1" applyNumberFormat="1" applyFont="1" applyFill="1" applyAlignment="1">
      <alignment horizontal="center"/>
    </xf>
    <xf numFmtId="166" fontId="22" fillId="0" borderId="0" xfId="1" applyNumberFormat="1" applyFont="1" applyFill="1"/>
    <xf numFmtId="0" fontId="21" fillId="0" borderId="4" xfId="0" applyFont="1" applyBorder="1"/>
    <xf numFmtId="0" fontId="22" fillId="0" borderId="0" xfId="0" applyFont="1" applyAlignment="1">
      <alignment horizontal="center" vertical="center"/>
    </xf>
    <xf numFmtId="166" fontId="21" fillId="0" borderId="0" xfId="1" applyNumberFormat="1" applyFont="1" applyFill="1" applyAlignment="1">
      <alignment horizontal="center"/>
    </xf>
    <xf numFmtId="0" fontId="24" fillId="0" borderId="0" xfId="0" applyFont="1" applyAlignment="1">
      <alignment horizontal="right"/>
    </xf>
    <xf numFmtId="10" fontId="21" fillId="0" borderId="0" xfId="2" applyNumberFormat="1" applyFont="1" applyFill="1" applyAlignment="1">
      <alignment horizontal="center" vertical="center"/>
    </xf>
    <xf numFmtId="10" fontId="21" fillId="0" borderId="0" xfId="2" applyNumberFormat="1" applyFont="1" applyFill="1" applyBorder="1" applyAlignment="1">
      <alignment horizontal="center" vertical="center"/>
    </xf>
    <xf numFmtId="10" fontId="22" fillId="0" borderId="0" xfId="2" applyNumberFormat="1" applyFont="1" applyAlignment="1">
      <alignment horizontal="right" vertical="center"/>
    </xf>
    <xf numFmtId="10" fontId="22" fillId="0" borderId="0" xfId="2" applyNumberFormat="1" applyFont="1" applyFill="1" applyAlignment="1">
      <alignment horizontal="right"/>
    </xf>
    <xf numFmtId="10" fontId="21" fillId="0" borderId="0" xfId="2" applyNumberFormat="1" applyFont="1" applyFill="1" applyAlignment="1">
      <alignment horizontal="right"/>
    </xf>
    <xf numFmtId="10" fontId="21" fillId="0" borderId="0" xfId="2" applyNumberFormat="1" applyFont="1" applyFill="1" applyAlignment="1">
      <alignment horizontal="center"/>
    </xf>
    <xf numFmtId="10" fontId="21" fillId="0" borderId="0" xfId="2" applyNumberFormat="1" applyFont="1" applyFill="1"/>
    <xf numFmtId="0" fontId="19" fillId="3" borderId="19" xfId="0" applyFont="1" applyFill="1" applyBorder="1" applyAlignment="1">
      <alignment horizontal="center"/>
    </xf>
    <xf numFmtId="0" fontId="19" fillId="3" borderId="21" xfId="0" applyFont="1" applyFill="1" applyBorder="1" applyAlignment="1">
      <alignment horizontal="center"/>
    </xf>
    <xf numFmtId="2" fontId="38" fillId="0" borderId="0" xfId="0" applyNumberFormat="1" applyFont="1" applyAlignment="1">
      <alignment horizontal="center"/>
    </xf>
    <xf numFmtId="164" fontId="38" fillId="0" borderId="0" xfId="1" applyNumberFormat="1" applyFont="1" applyAlignment="1"/>
    <xf numFmtId="2" fontId="22" fillId="0" borderId="0" xfId="0" applyNumberFormat="1" applyFont="1" applyAlignment="1">
      <alignment horizontal="center"/>
    </xf>
    <xf numFmtId="0" fontId="34" fillId="0" borderId="0" xfId="0" applyFont="1"/>
    <xf numFmtId="43" fontId="24" fillId="0" borderId="0" xfId="1" applyFont="1" applyFill="1"/>
    <xf numFmtId="2" fontId="38" fillId="0" borderId="4" xfId="0" applyNumberFormat="1" applyFont="1" applyBorder="1" applyAlignment="1">
      <alignment horizontal="center"/>
    </xf>
    <xf numFmtId="10" fontId="22" fillId="0" borderId="0" xfId="2" applyNumberFormat="1" applyFont="1" applyFill="1" applyAlignment="1">
      <alignment horizontal="center"/>
    </xf>
    <xf numFmtId="0" fontId="19" fillId="0" borderId="2" xfId="0" applyFont="1" applyBorder="1" applyAlignment="1">
      <alignment horizontal="center"/>
    </xf>
    <xf numFmtId="0" fontId="31" fillId="0" borderId="16" xfId="0" applyFont="1" applyBorder="1" applyAlignment="1">
      <alignment horizontal="center"/>
    </xf>
    <xf numFmtId="0" fontId="24" fillId="0" borderId="0" xfId="0" applyFont="1" applyAlignment="1">
      <alignment horizontal="center" vertical="center"/>
    </xf>
    <xf numFmtId="0" fontId="19" fillId="0" borderId="4" xfId="0" applyFont="1" applyBorder="1"/>
    <xf numFmtId="2" fontId="22" fillId="0" borderId="0" xfId="0" applyNumberFormat="1" applyFont="1" applyAlignment="1">
      <alignment horizontal="right" vertical="center"/>
    </xf>
    <xf numFmtId="2" fontId="21" fillId="0" borderId="0" xfId="0" applyNumberFormat="1" applyFont="1" applyAlignment="1">
      <alignment horizontal="right"/>
    </xf>
    <xf numFmtId="10" fontId="21" fillId="0" borderId="0" xfId="0" applyNumberFormat="1" applyFont="1"/>
    <xf numFmtId="0" fontId="39" fillId="0" borderId="0" xfId="0" applyFont="1" applyAlignment="1">
      <alignment horizontal="center"/>
    </xf>
    <xf numFmtId="0" fontId="40" fillId="0" borderId="0" xfId="0" applyFont="1"/>
    <xf numFmtId="0" fontId="41" fillId="0" borderId="16" xfId="0" applyFont="1" applyBorder="1" applyAlignment="1">
      <alignment horizontal="center"/>
    </xf>
    <xf numFmtId="0" fontId="36" fillId="0" borderId="0" xfId="0" applyFont="1" applyAlignment="1">
      <alignment horizontal="right"/>
    </xf>
    <xf numFmtId="0" fontId="28" fillId="0" borderId="0" xfId="0" applyFont="1" applyAlignment="1">
      <alignment horizontal="center"/>
    </xf>
    <xf numFmtId="0" fontId="21" fillId="0" borderId="23" xfId="0" applyFont="1" applyBorder="1" applyAlignment="1">
      <alignment horizontal="center"/>
    </xf>
    <xf numFmtId="0" fontId="21" fillId="0" borderId="9" xfId="0" applyFont="1" applyBorder="1" applyAlignment="1">
      <alignment horizontal="center"/>
    </xf>
    <xf numFmtId="0" fontId="21" fillId="0" borderId="3" xfId="0" applyFont="1" applyBorder="1" applyAlignment="1">
      <alignment horizontal="center"/>
    </xf>
    <xf numFmtId="10" fontId="21" fillId="0" borderId="0" xfId="2" applyNumberFormat="1" applyFont="1"/>
    <xf numFmtId="10" fontId="21" fillId="0" borderId="0" xfId="1" applyNumberFormat="1" applyFont="1" applyFill="1"/>
    <xf numFmtId="10" fontId="43" fillId="0" borderId="0" xfId="2" applyNumberFormat="1" applyFont="1" applyFill="1" applyAlignment="1">
      <alignment horizontal="center"/>
    </xf>
    <xf numFmtId="164" fontId="21" fillId="0" borderId="0" xfId="1" applyNumberFormat="1" applyFont="1"/>
    <xf numFmtId="0" fontId="19" fillId="0" borderId="0" xfId="0" applyFont="1" applyAlignment="1">
      <alignment horizontal="left"/>
    </xf>
    <xf numFmtId="0" fontId="21" fillId="0" borderId="2" xfId="0" applyFont="1" applyBorder="1"/>
    <xf numFmtId="0" fontId="34" fillId="0" borderId="7" xfId="0" applyFont="1" applyBorder="1" applyAlignment="1">
      <alignment horizontal="center"/>
    </xf>
    <xf numFmtId="0" fontId="34" fillId="0" borderId="9" xfId="0" applyFont="1" applyBorder="1" applyAlignment="1">
      <alignment horizontal="center"/>
    </xf>
    <xf numFmtId="0" fontId="34" fillId="0" borderId="0" xfId="0" applyFont="1" applyAlignment="1">
      <alignment horizontal="center"/>
    </xf>
    <xf numFmtId="15" fontId="34" fillId="0" borderId="9" xfId="0" applyNumberFormat="1" applyFont="1" applyBorder="1" applyAlignment="1">
      <alignment horizontal="center"/>
    </xf>
    <xf numFmtId="15" fontId="34" fillId="0" borderId="0" xfId="0" quotePrefix="1" applyNumberFormat="1" applyFont="1" applyAlignment="1">
      <alignment horizontal="center"/>
    </xf>
    <xf numFmtId="0" fontId="22" fillId="0" borderId="9" xfId="0" applyFont="1" applyBorder="1" applyAlignment="1">
      <alignment horizontal="center"/>
    </xf>
    <xf numFmtId="0" fontId="38" fillId="0" borderId="9" xfId="0" applyFont="1" applyBorder="1" applyAlignment="1">
      <alignment horizontal="center"/>
    </xf>
    <xf numFmtId="0" fontId="34" fillId="0" borderId="8" xfId="0" applyFont="1" applyBorder="1" applyAlignment="1">
      <alignment horizontal="center"/>
    </xf>
    <xf numFmtId="0" fontId="34" fillId="0" borderId="3" xfId="0" applyFont="1" applyBorder="1" applyAlignment="1">
      <alignment horizontal="center"/>
    </xf>
    <xf numFmtId="0" fontId="34" fillId="0" borderId="2" xfId="0" applyFont="1" applyBorder="1" applyAlignment="1">
      <alignment horizontal="center"/>
    </xf>
    <xf numFmtId="0" fontId="35" fillId="0" borderId="3" xfId="0" applyFont="1" applyBorder="1" applyAlignment="1">
      <alignment horizontal="center"/>
    </xf>
    <xf numFmtId="0" fontId="35" fillId="0" borderId="2" xfId="0" applyFont="1" applyBorder="1" applyAlignment="1">
      <alignment horizontal="center"/>
    </xf>
    <xf numFmtId="0" fontId="35" fillId="0" borderId="10" xfId="0" applyFont="1" applyBorder="1" applyAlignment="1">
      <alignment horizontal="center"/>
    </xf>
    <xf numFmtId="0" fontId="34" fillId="0" borderId="9" xfId="0" applyFont="1" applyBorder="1"/>
    <xf numFmtId="0" fontId="34" fillId="0" borderId="7" xfId="0" applyFont="1" applyBorder="1"/>
    <xf numFmtId="0" fontId="38" fillId="0" borderId="0" xfId="0" applyFont="1" applyAlignment="1">
      <alignment horizontal="center"/>
    </xf>
    <xf numFmtId="2" fontId="38" fillId="0" borderId="9" xfId="0" applyNumberFormat="1" applyFont="1" applyBorder="1" applyAlignment="1">
      <alignment horizontal="center"/>
    </xf>
    <xf numFmtId="3" fontId="38" fillId="0" borderId="0" xfId="0" applyNumberFormat="1" applyFont="1"/>
    <xf numFmtId="0" fontId="37" fillId="0" borderId="0" xfId="0" applyFont="1"/>
    <xf numFmtId="0" fontId="45" fillId="0" borderId="2" xfId="0" applyFont="1" applyBorder="1"/>
    <xf numFmtId="0" fontId="37" fillId="0" borderId="2" xfId="0" applyFont="1" applyBorder="1"/>
    <xf numFmtId="0" fontId="37" fillId="0" borderId="5" xfId="0" applyFont="1" applyBorder="1"/>
    <xf numFmtId="0" fontId="37" fillId="0" borderId="6" xfId="0" applyFont="1" applyBorder="1"/>
    <xf numFmtId="15" fontId="34" fillId="0" borderId="6" xfId="0" quotePrefix="1" applyNumberFormat="1" applyFont="1" applyBorder="1" applyAlignment="1">
      <alignment horizontal="center"/>
    </xf>
    <xf numFmtId="0" fontId="19" fillId="0" borderId="6" xfId="0" applyFont="1" applyBorder="1"/>
    <xf numFmtId="0" fontId="37" fillId="0" borderId="11" xfId="0" applyFont="1" applyBorder="1"/>
    <xf numFmtId="15" fontId="34" fillId="0" borderId="12" xfId="0" quotePrefix="1" applyNumberFormat="1" applyFont="1" applyBorder="1" applyAlignment="1">
      <alignment horizontal="center"/>
    </xf>
    <xf numFmtId="0" fontId="38" fillId="0" borderId="12" xfId="0" applyFont="1" applyBorder="1" applyAlignment="1">
      <alignment horizontal="center"/>
    </xf>
    <xf numFmtId="0" fontId="34" fillId="0" borderId="13" xfId="0" applyFont="1" applyBorder="1" applyAlignment="1">
      <alignment horizontal="center"/>
    </xf>
    <xf numFmtId="0" fontId="35" fillId="0" borderId="14" xfId="0" applyFont="1" applyBorder="1" applyAlignment="1">
      <alignment horizontal="center"/>
    </xf>
    <xf numFmtId="0" fontId="34" fillId="0" borderId="12" xfId="0" applyFont="1" applyBorder="1"/>
    <xf numFmtId="164" fontId="38" fillId="0" borderId="0" xfId="1" applyNumberFormat="1" applyFont="1" applyFill="1" applyBorder="1"/>
    <xf numFmtId="10" fontId="38" fillId="0" borderId="0" xfId="2" applyNumberFormat="1" applyFont="1" applyFill="1" applyBorder="1"/>
    <xf numFmtId="10" fontId="38" fillId="0" borderId="12" xfId="2" applyNumberFormat="1" applyFont="1" applyFill="1" applyBorder="1"/>
    <xf numFmtId="0" fontId="37" fillId="0" borderId="8" xfId="0" applyFont="1" applyBorder="1"/>
    <xf numFmtId="0" fontId="37" fillId="0" borderId="13" xfId="0" applyFont="1" applyBorder="1"/>
    <xf numFmtId="0" fontId="34" fillId="0" borderId="0" xfId="0" applyFont="1" applyAlignment="1">
      <alignment horizontal="right"/>
    </xf>
    <xf numFmtId="164" fontId="21" fillId="0" borderId="0" xfId="0" applyNumberFormat="1" applyFont="1"/>
    <xf numFmtId="10" fontId="34" fillId="0" borderId="0" xfId="0" applyNumberFormat="1" applyFont="1" applyAlignment="1">
      <alignment horizontal="right"/>
    </xf>
    <xf numFmtId="10" fontId="34" fillId="0" borderId="0" xfId="2" applyNumberFormat="1" applyFont="1" applyFill="1"/>
    <xf numFmtId="10" fontId="34" fillId="0" borderId="0" xfId="2" applyNumberFormat="1" applyFont="1"/>
    <xf numFmtId="2" fontId="19" fillId="0" borderId="0" xfId="0" applyNumberFormat="1" applyFont="1"/>
    <xf numFmtId="0" fontId="21" fillId="0" borderId="1" xfId="0" applyFont="1" applyBorder="1" applyAlignment="1">
      <alignment horizontal="center"/>
    </xf>
    <xf numFmtId="0" fontId="28" fillId="0" borderId="0" xfId="0" applyFont="1" applyAlignment="1">
      <alignment horizontal="right"/>
    </xf>
    <xf numFmtId="0" fontId="22" fillId="0" borderId="0" xfId="0" applyFont="1"/>
    <xf numFmtId="0" fontId="20" fillId="0" borderId="0" xfId="0" applyFont="1"/>
    <xf numFmtId="0" fontId="20" fillId="0" borderId="0" xfId="0" applyFont="1" applyAlignment="1">
      <alignment horizontal="left"/>
    </xf>
    <xf numFmtId="0" fontId="47" fillId="0" borderId="0" xfId="6" applyFont="1" applyFill="1" applyAlignment="1" applyProtection="1">
      <alignment horizontal="left" vertical="top"/>
    </xf>
    <xf numFmtId="0" fontId="20" fillId="0" borderId="0" xfId="0" applyFont="1" applyAlignment="1">
      <alignment horizontal="left" vertical="top"/>
    </xf>
    <xf numFmtId="0" fontId="47" fillId="0" borderId="0" xfId="6" applyFont="1" applyFill="1" applyAlignment="1" applyProtection="1"/>
    <xf numFmtId="0" fontId="20" fillId="0" borderId="0" xfId="0" applyFont="1" applyAlignment="1">
      <alignment vertical="top"/>
    </xf>
    <xf numFmtId="0" fontId="48" fillId="0" borderId="0" xfId="0" applyFont="1" applyAlignment="1">
      <alignment horizontal="left" vertical="top"/>
    </xf>
    <xf numFmtId="0" fontId="48" fillId="0" borderId="0" xfId="0" applyFont="1"/>
    <xf numFmtId="165" fontId="21" fillId="0" borderId="0" xfId="3" applyNumberFormat="1" applyFont="1" applyFill="1" applyAlignment="1">
      <alignment horizontal="center"/>
    </xf>
    <xf numFmtId="164" fontId="22" fillId="0" borderId="0" xfId="1" applyNumberFormat="1" applyFont="1" applyFill="1"/>
    <xf numFmtId="10" fontId="22" fillId="0" borderId="0" xfId="2" applyNumberFormat="1" applyFont="1" applyFill="1"/>
    <xf numFmtId="0" fontId="28" fillId="0" borderId="2" xfId="0" applyFont="1" applyBorder="1" applyAlignment="1">
      <alignment horizontal="center"/>
    </xf>
    <xf numFmtId="10" fontId="38" fillId="0" borderId="0" xfId="2" applyNumberFormat="1" applyFont="1" applyFill="1" applyAlignment="1">
      <alignment horizontal="center"/>
    </xf>
    <xf numFmtId="10" fontId="38" fillId="0" borderId="0" xfId="2" applyNumberFormat="1" applyFont="1" applyFill="1"/>
    <xf numFmtId="2" fontId="49" fillId="0" borderId="0" xfId="0" applyNumberFormat="1" applyFont="1" applyAlignment="1">
      <alignment horizontal="center"/>
    </xf>
    <xf numFmtId="2" fontId="34" fillId="0" borderId="2" xfId="0" applyNumberFormat="1" applyFont="1" applyBorder="1" applyAlignment="1">
      <alignment horizontal="center"/>
    </xf>
    <xf numFmtId="10" fontId="34" fillId="0" borderId="2" xfId="2" applyNumberFormat="1" applyFont="1" applyBorder="1"/>
    <xf numFmtId="10" fontId="34" fillId="0" borderId="0" xfId="0" applyNumberFormat="1" applyFont="1" applyAlignment="1">
      <alignment horizontal="center"/>
    </xf>
    <xf numFmtId="2" fontId="34" fillId="0" borderId="0" xfId="0" applyNumberFormat="1" applyFont="1" applyAlignment="1">
      <alignment horizontal="center"/>
    </xf>
    <xf numFmtId="0" fontId="38" fillId="0" borderId="0" xfId="0" applyFont="1"/>
    <xf numFmtId="0" fontId="34" fillId="0" borderId="0" xfId="0" applyFont="1" applyAlignment="1">
      <alignment horizontal="left"/>
    </xf>
    <xf numFmtId="10" fontId="19" fillId="0" borderId="0" xfId="0" applyNumberFormat="1" applyFont="1"/>
    <xf numFmtId="0" fontId="18" fillId="0" borderId="0" xfId="6"/>
    <xf numFmtId="0" fontId="21" fillId="0" borderId="0" xfId="0" applyFont="1" applyAlignment="1">
      <alignment horizontal="left"/>
    </xf>
    <xf numFmtId="0" fontId="50" fillId="0" borderId="2" xfId="0" applyFont="1" applyBorder="1"/>
    <xf numFmtId="0" fontId="0" fillId="0" borderId="2" xfId="0" applyBorder="1"/>
    <xf numFmtId="0" fontId="28" fillId="0" borderId="2" xfId="0" applyFont="1" applyBorder="1"/>
    <xf numFmtId="0" fontId="19" fillId="0" borderId="5" xfId="0" applyFont="1" applyBorder="1"/>
    <xf numFmtId="0" fontId="19" fillId="0" borderId="11" xfId="0" applyFont="1" applyBorder="1"/>
    <xf numFmtId="0" fontId="21" fillId="0" borderId="8" xfId="0" applyFont="1" applyBorder="1" applyAlignment="1">
      <alignment horizontal="center" vertical="center"/>
    </xf>
    <xf numFmtId="0" fontId="28" fillId="0" borderId="33" xfId="0" applyFont="1" applyBorder="1" applyAlignment="1">
      <alignment horizontal="center" vertical="center" wrapText="1"/>
    </xf>
    <xf numFmtId="0" fontId="28" fillId="0" borderId="15" xfId="0" applyFont="1" applyBorder="1" applyAlignment="1">
      <alignment horizontal="center" vertical="center"/>
    </xf>
    <xf numFmtId="0" fontId="28" fillId="0" borderId="15" xfId="0" applyFont="1" applyBorder="1" applyAlignment="1">
      <alignment horizontal="center" vertical="center" wrapText="1"/>
    </xf>
    <xf numFmtId="0" fontId="28" fillId="0" borderId="31" xfId="0" applyFont="1" applyBorder="1" applyAlignment="1">
      <alignment horizontal="center" vertical="center"/>
    </xf>
    <xf numFmtId="0" fontId="34" fillId="0" borderId="15" xfId="0" applyFont="1" applyBorder="1" applyAlignment="1">
      <alignment horizontal="center" vertical="center"/>
    </xf>
    <xf numFmtId="0" fontId="51" fillId="0" borderId="0" xfId="0" applyFont="1"/>
    <xf numFmtId="0" fontId="28" fillId="0" borderId="7" xfId="0" applyFont="1" applyBorder="1" applyAlignment="1">
      <alignment horizontal="center" vertical="center"/>
    </xf>
    <xf numFmtId="0" fontId="34" fillId="0" borderId="2" xfId="0" applyFont="1" applyBorder="1" applyAlignment="1">
      <alignment horizontal="center" vertical="center"/>
    </xf>
    <xf numFmtId="0" fontId="50" fillId="0" borderId="32" xfId="0" applyFont="1" applyBorder="1"/>
    <xf numFmtId="0" fontId="19" fillId="0" borderId="26" xfId="0" applyFont="1" applyBorder="1"/>
    <xf numFmtId="0" fontId="19" fillId="0" borderId="25" xfId="0" applyFont="1" applyBorder="1"/>
    <xf numFmtId="0" fontId="34" fillId="0" borderId="28" xfId="0" applyFont="1" applyBorder="1"/>
    <xf numFmtId="0" fontId="34" fillId="0" borderId="30" xfId="0" applyFont="1" applyBorder="1"/>
    <xf numFmtId="10" fontId="38" fillId="0" borderId="24" xfId="2" applyNumberFormat="1" applyFont="1" applyFill="1" applyBorder="1" applyAlignment="1">
      <alignment horizontal="center"/>
    </xf>
    <xf numFmtId="0" fontId="34" fillId="0" borderId="19" xfId="0" applyFont="1" applyBorder="1"/>
    <xf numFmtId="10" fontId="38" fillId="0" borderId="25" xfId="2" applyNumberFormat="1" applyFont="1" applyFill="1" applyBorder="1" applyAlignment="1">
      <alignment horizontal="center"/>
    </xf>
    <xf numFmtId="0" fontId="34" fillId="0" borderId="21" xfId="0" applyFont="1" applyBorder="1"/>
    <xf numFmtId="0" fontId="34" fillId="0" borderId="1" xfId="0" applyFont="1" applyBorder="1"/>
    <xf numFmtId="10" fontId="38" fillId="0" borderId="26" xfId="2" applyNumberFormat="1" applyFont="1" applyFill="1" applyBorder="1" applyAlignment="1">
      <alignment horizontal="center"/>
    </xf>
    <xf numFmtId="10" fontId="38" fillId="0" borderId="25" xfId="2" applyNumberFormat="1" applyFont="1" applyBorder="1" applyAlignment="1">
      <alignment horizontal="center" vertical="center"/>
    </xf>
    <xf numFmtId="10" fontId="34" fillId="0" borderId="24" xfId="2" applyNumberFormat="1" applyFont="1" applyFill="1" applyBorder="1" applyAlignment="1">
      <alignment horizontal="center"/>
    </xf>
    <xf numFmtId="10" fontId="34" fillId="0" borderId="26" xfId="2" applyNumberFormat="1" applyFont="1" applyFill="1" applyBorder="1" applyAlignment="1">
      <alignment horizontal="center"/>
    </xf>
    <xf numFmtId="10" fontId="38" fillId="0" borderId="0" xfId="2" applyNumberFormat="1" applyFont="1" applyAlignment="1">
      <alignment horizontal="right" vertical="center"/>
    </xf>
    <xf numFmtId="43" fontId="38" fillId="0" borderId="0" xfId="1" applyFont="1" applyAlignment="1">
      <alignment horizontal="right" vertical="center"/>
    </xf>
    <xf numFmtId="43" fontId="38" fillId="0" borderId="0" xfId="1" applyFont="1" applyFill="1" applyAlignment="1">
      <alignment horizontal="right" vertical="center"/>
    </xf>
    <xf numFmtId="10" fontId="34" fillId="0" borderId="0" xfId="2" applyNumberFormat="1" applyFont="1" applyFill="1" applyAlignment="1">
      <alignment horizontal="right"/>
    </xf>
    <xf numFmtId="43" fontId="34" fillId="0" borderId="0" xfId="1" applyFont="1" applyFill="1" applyAlignment="1">
      <alignment horizontal="right"/>
    </xf>
    <xf numFmtId="43" fontId="34" fillId="0" borderId="0" xfId="1" applyFont="1" applyFill="1"/>
    <xf numFmtId="0" fontId="34" fillId="0" borderId="0" xfId="0" applyFont="1" applyAlignment="1">
      <alignment horizontal="center" vertical="center"/>
    </xf>
    <xf numFmtId="0" fontId="22" fillId="0" borderId="24" xfId="0" applyFont="1" applyBorder="1" applyAlignment="1">
      <alignment horizontal="center"/>
    </xf>
    <xf numFmtId="0" fontId="22" fillId="0" borderId="26" xfId="0" applyFont="1" applyBorder="1" applyAlignment="1">
      <alignment horizontal="center"/>
    </xf>
    <xf numFmtId="44" fontId="38" fillId="0" borderId="0" xfId="3" applyFont="1" applyAlignment="1">
      <alignment horizontal="center"/>
    </xf>
    <xf numFmtId="165" fontId="21" fillId="0" borderId="0" xfId="0" applyNumberFormat="1" applyFont="1" applyAlignment="1">
      <alignment horizontal="center"/>
    </xf>
    <xf numFmtId="0" fontId="29" fillId="0" borderId="0" xfId="0" applyFont="1"/>
    <xf numFmtId="0" fontId="33" fillId="0" borderId="0" xfId="0" applyFont="1"/>
    <xf numFmtId="0" fontId="21" fillId="0" borderId="0" xfId="0" applyFont="1" applyAlignment="1">
      <alignment horizontal="right" vertical="center"/>
    </xf>
    <xf numFmtId="0" fontId="44" fillId="0" borderId="0" xfId="0" applyFont="1"/>
    <xf numFmtId="0" fontId="0" fillId="0" borderId="33" xfId="0" applyBorder="1"/>
    <xf numFmtId="0" fontId="19" fillId="0" borderId="31" xfId="0" applyFont="1" applyBorder="1"/>
    <xf numFmtId="0" fontId="24" fillId="0" borderId="33" xfId="0" applyFont="1" applyBorder="1" applyAlignment="1">
      <alignment horizontal="right"/>
    </xf>
    <xf numFmtId="0" fontId="23" fillId="0" borderId="31" xfId="0" applyFont="1" applyBorder="1"/>
    <xf numFmtId="0" fontId="23" fillId="0" borderId="33" xfId="0" applyFont="1" applyBorder="1" applyAlignment="1">
      <alignment horizontal="right"/>
    </xf>
    <xf numFmtId="0" fontId="23" fillId="0" borderId="33" xfId="0" applyFont="1" applyBorder="1"/>
    <xf numFmtId="0" fontId="19" fillId="0" borderId="33" xfId="0" applyFont="1" applyBorder="1"/>
    <xf numFmtId="0" fontId="34" fillId="0" borderId="7" xfId="0" applyFont="1" applyBorder="1" applyAlignment="1">
      <alignment horizontal="center" vertical="center"/>
    </xf>
    <xf numFmtId="10" fontId="34" fillId="0" borderId="0" xfId="2" applyNumberFormat="1" applyFont="1" applyBorder="1" applyAlignment="1">
      <alignment horizontal="center" vertical="center"/>
    </xf>
    <xf numFmtId="10" fontId="34" fillId="0" borderId="12" xfId="2" applyNumberFormat="1" applyFont="1" applyBorder="1" applyAlignment="1">
      <alignment horizontal="center" vertical="center"/>
    </xf>
    <xf numFmtId="0" fontId="37" fillId="0" borderId="7" xfId="0" applyFont="1" applyBorder="1"/>
    <xf numFmtId="0" fontId="37" fillId="0" borderId="12" xfId="0" applyFont="1" applyBorder="1"/>
    <xf numFmtId="0" fontId="0" fillId="4" borderId="0" xfId="0" applyFill="1"/>
    <xf numFmtId="0" fontId="24" fillId="0" borderId="15" xfId="0" applyFont="1" applyBorder="1" applyAlignment="1">
      <alignment horizontal="center" vertical="center"/>
    </xf>
    <xf numFmtId="0" fontId="53" fillId="0" borderId="0" xfId="0" applyFont="1"/>
    <xf numFmtId="0" fontId="24" fillId="0" borderId="15" xfId="0" applyFont="1" applyBorder="1" applyAlignment="1">
      <alignment horizontal="right"/>
    </xf>
    <xf numFmtId="2" fontId="34" fillId="0" borderId="15" xfId="0" applyNumberFormat="1" applyFont="1" applyBorder="1" applyAlignment="1">
      <alignment horizontal="center"/>
    </xf>
    <xf numFmtId="43" fontId="34" fillId="0" borderId="0" xfId="1" applyFont="1" applyBorder="1" applyAlignment="1">
      <alignment horizontal="center" vertical="center"/>
    </xf>
    <xf numFmtId="43" fontId="34" fillId="0" borderId="0" xfId="1" applyFont="1" applyBorder="1" applyAlignment="1">
      <alignment vertical="center"/>
    </xf>
    <xf numFmtId="10" fontId="34" fillId="0" borderId="0" xfId="2" applyNumberFormat="1" applyFont="1" applyBorder="1" applyAlignment="1">
      <alignment vertical="center"/>
    </xf>
    <xf numFmtId="10" fontId="0" fillId="0" borderId="0" xfId="2" applyNumberFormat="1" applyFont="1"/>
    <xf numFmtId="10" fontId="34" fillId="0" borderId="0" xfId="2" applyNumberFormat="1" applyFont="1" applyFill="1" applyBorder="1" applyAlignment="1">
      <alignment horizontal="center" vertical="center"/>
    </xf>
    <xf numFmtId="0" fontId="34" fillId="0" borderId="29" xfId="0" applyFont="1" applyBorder="1"/>
    <xf numFmtId="0" fontId="34" fillId="0" borderId="20" xfId="0" applyFont="1" applyBorder="1"/>
    <xf numFmtId="0" fontId="34" fillId="0" borderId="22" xfId="0" applyFont="1" applyBorder="1"/>
    <xf numFmtId="0" fontId="19" fillId="0" borderId="23" xfId="0" applyFont="1" applyBorder="1"/>
    <xf numFmtId="10" fontId="28" fillId="0" borderId="3" xfId="2" applyNumberFormat="1" applyFont="1" applyBorder="1" applyAlignment="1">
      <alignment horizontal="center" vertical="center"/>
    </xf>
    <xf numFmtId="10" fontId="23" fillId="0" borderId="0" xfId="2" applyNumberFormat="1" applyFont="1" applyAlignment="1">
      <alignment horizontal="center"/>
    </xf>
    <xf numFmtId="0" fontId="54" fillId="0" borderId="0" xfId="0" applyFont="1"/>
    <xf numFmtId="0" fontId="31" fillId="0" borderId="0" xfId="0" applyFont="1"/>
    <xf numFmtId="164" fontId="21" fillId="0" borderId="0" xfId="1" applyNumberFormat="1" applyFont="1" applyFill="1" applyAlignment="1">
      <alignment horizontal="center"/>
    </xf>
    <xf numFmtId="164" fontId="21" fillId="0" borderId="0" xfId="1" applyNumberFormat="1" applyFont="1" applyFill="1" applyAlignment="1"/>
    <xf numFmtId="2" fontId="24" fillId="0" borderId="15" xfId="0" applyNumberFormat="1" applyFont="1" applyBorder="1" applyAlignment="1">
      <alignment horizontal="center"/>
    </xf>
    <xf numFmtId="10" fontId="24" fillId="0" borderId="15" xfId="2" applyNumberFormat="1" applyFont="1" applyBorder="1" applyAlignment="1">
      <alignment horizontal="center"/>
    </xf>
    <xf numFmtId="2" fontId="24" fillId="0" borderId="15" xfId="0" applyNumberFormat="1" applyFont="1" applyBorder="1" applyAlignment="1">
      <alignment horizontal="center" vertical="center"/>
    </xf>
    <xf numFmtId="10" fontId="24" fillId="0" borderId="15" xfId="2" applyNumberFormat="1" applyFont="1" applyBorder="1" applyAlignment="1">
      <alignment horizontal="center" vertical="center"/>
    </xf>
    <xf numFmtId="10" fontId="38" fillId="0" borderId="26" xfId="2" applyNumberFormat="1" applyFont="1" applyBorder="1" applyAlignment="1">
      <alignment horizontal="center" vertical="center"/>
    </xf>
    <xf numFmtId="0" fontId="21" fillId="0" borderId="0" xfId="0" applyFont="1" applyAlignment="1">
      <alignment horizontal="center" vertical="center"/>
    </xf>
    <xf numFmtId="10" fontId="28" fillId="0" borderId="0" xfId="2" applyNumberFormat="1" applyFont="1" applyBorder="1" applyAlignment="1">
      <alignment horizontal="center" vertical="center"/>
    </xf>
    <xf numFmtId="0" fontId="28" fillId="0" borderId="8" xfId="0" applyFont="1" applyBorder="1" applyAlignment="1">
      <alignment horizontal="right" vertical="center"/>
    </xf>
    <xf numFmtId="0" fontId="30" fillId="0" borderId="16" xfId="0" applyFont="1" applyBorder="1" applyAlignment="1">
      <alignment horizontal="center"/>
    </xf>
    <xf numFmtId="0" fontId="21" fillId="0" borderId="2" xfId="0" quotePrefix="1" applyFont="1" applyBorder="1" applyAlignment="1">
      <alignment horizontal="center"/>
    </xf>
    <xf numFmtId="0" fontId="6" fillId="0" borderId="0" xfId="0" applyFont="1"/>
    <xf numFmtId="0" fontId="55" fillId="0" borderId="0" xfId="0" applyFont="1" applyAlignment="1">
      <alignment horizontal="center"/>
    </xf>
    <xf numFmtId="0" fontId="37" fillId="0" borderId="0" xfId="0" applyFont="1" applyAlignment="1">
      <alignment horizontal="left"/>
    </xf>
    <xf numFmtId="0" fontId="52" fillId="0" borderId="0" xfId="0" applyFont="1" applyAlignment="1">
      <alignment horizontal="left"/>
    </xf>
    <xf numFmtId="0" fontId="56" fillId="0" borderId="0" xfId="0" applyFont="1"/>
    <xf numFmtId="0" fontId="37" fillId="0" borderId="0" xfId="0" applyFont="1" applyAlignment="1">
      <alignment horizontal="right"/>
    </xf>
    <xf numFmtId="0" fontId="37" fillId="0" borderId="2" xfId="0" applyFont="1" applyBorder="1" applyAlignment="1">
      <alignment horizontal="center"/>
    </xf>
    <xf numFmtId="0" fontId="52" fillId="0" borderId="0" xfId="0" applyFont="1"/>
    <xf numFmtId="10" fontId="28" fillId="0" borderId="9" xfId="2" applyNumberFormat="1" applyFont="1" applyFill="1" applyBorder="1" applyAlignment="1">
      <alignment horizontal="center" vertical="center"/>
    </xf>
    <xf numFmtId="43" fontId="24" fillId="0" borderId="15" xfId="1" applyFont="1" applyBorder="1" applyAlignment="1">
      <alignment horizontal="center" vertical="center"/>
    </xf>
    <xf numFmtId="167" fontId="38" fillId="0" borderId="15" xfId="1" applyNumberFormat="1" applyFont="1" applyFill="1" applyBorder="1"/>
    <xf numFmtId="15" fontId="34" fillId="0" borderId="23" xfId="0" applyNumberFormat="1" applyFont="1" applyBorder="1" applyAlignment="1">
      <alignment horizontal="center"/>
    </xf>
    <xf numFmtId="15" fontId="34" fillId="0" borderId="11" xfId="0" applyNumberFormat="1" applyFont="1" applyBorder="1" applyAlignment="1">
      <alignment horizontal="center"/>
    </xf>
    <xf numFmtId="15" fontId="34" fillId="0" borderId="12" xfId="0" applyNumberFormat="1" applyFont="1" applyBorder="1" applyAlignment="1">
      <alignment horizontal="center"/>
    </xf>
    <xf numFmtId="0" fontId="34" fillId="0" borderId="12" xfId="0" applyFont="1" applyBorder="1" applyAlignment="1">
      <alignment horizontal="center"/>
    </xf>
    <xf numFmtId="0" fontId="51" fillId="0" borderId="0" xfId="0" applyFont="1" applyAlignment="1">
      <alignment horizontal="center" vertical="center"/>
    </xf>
    <xf numFmtId="0" fontId="51" fillId="0" borderId="1" xfId="0" applyFont="1" applyBorder="1" applyAlignment="1">
      <alignment horizontal="center" vertical="center"/>
    </xf>
    <xf numFmtId="0" fontId="0" fillId="0" borderId="1" xfId="0" applyBorder="1"/>
    <xf numFmtId="0" fontId="34" fillId="0" borderId="1" xfId="0" applyFont="1" applyBorder="1" applyAlignment="1">
      <alignment horizontal="center"/>
    </xf>
    <xf numFmtId="10" fontId="38" fillId="0" borderId="1" xfId="2" applyNumberFormat="1" applyFont="1" applyFill="1" applyBorder="1" applyAlignment="1">
      <alignment horizontal="center"/>
    </xf>
    <xf numFmtId="43" fontId="38" fillId="0" borderId="1" xfId="1" applyFont="1" applyFill="1" applyBorder="1" applyAlignment="1">
      <alignment horizontal="center"/>
    </xf>
    <xf numFmtId="43" fontId="38" fillId="0" borderId="0" xfId="1" applyFont="1" applyAlignment="1">
      <alignment horizontal="center"/>
    </xf>
    <xf numFmtId="43" fontId="38" fillId="0" borderId="0" xfId="1" applyFont="1" applyFill="1" applyAlignment="1">
      <alignment horizontal="center"/>
    </xf>
    <xf numFmtId="0" fontId="51" fillId="0" borderId="0" xfId="0" applyFont="1" applyAlignment="1">
      <alignment horizontal="right"/>
    </xf>
    <xf numFmtId="43" fontId="51" fillId="0" borderId="0" xfId="0" applyNumberFormat="1" applyFont="1"/>
    <xf numFmtId="2" fontId="51" fillId="0" borderId="0" xfId="0" applyNumberFormat="1" applyFont="1"/>
    <xf numFmtId="0" fontId="34" fillId="0" borderId="5" xfId="0" applyFont="1" applyBorder="1" applyAlignment="1">
      <alignment horizontal="center"/>
    </xf>
    <xf numFmtId="0" fontId="34" fillId="0" borderId="23" xfId="0" applyFont="1" applyBorder="1" applyAlignment="1">
      <alignment horizontal="center"/>
    </xf>
    <xf numFmtId="0" fontId="34" fillId="0" borderId="6" xfId="0" applyFont="1" applyBorder="1" applyAlignment="1">
      <alignment horizontal="center"/>
    </xf>
    <xf numFmtId="164" fontId="38" fillId="0" borderId="9" xfId="1" applyNumberFormat="1" applyFont="1" applyFill="1" applyBorder="1" applyAlignment="1">
      <alignment horizontal="center"/>
    </xf>
    <xf numFmtId="164" fontId="38" fillId="0" borderId="12" xfId="1" applyNumberFormat="1" applyFont="1" applyFill="1" applyBorder="1" applyAlignment="1">
      <alignment horizontal="center"/>
    </xf>
    <xf numFmtId="168" fontId="21" fillId="0" borderId="25" xfId="0" applyNumberFormat="1" applyFont="1" applyBorder="1" applyAlignment="1">
      <alignment horizontal="center" vertical="center"/>
    </xf>
    <xf numFmtId="0" fontId="22" fillId="0" borderId="0" xfId="0" applyFont="1" applyAlignment="1">
      <alignment horizontal="center"/>
    </xf>
    <xf numFmtId="10" fontId="38" fillId="0" borderId="0" xfId="2" applyNumberFormat="1" applyFont="1" applyFill="1" applyBorder="1" applyAlignment="1">
      <alignment horizontal="center"/>
    </xf>
    <xf numFmtId="10" fontId="38" fillId="0" borderId="0" xfId="2" applyNumberFormat="1" applyFont="1" applyBorder="1" applyAlignment="1">
      <alignment horizontal="center" vertical="center"/>
    </xf>
    <xf numFmtId="10" fontId="28" fillId="0" borderId="3" xfId="2" applyNumberFormat="1" applyFont="1" applyFill="1" applyBorder="1" applyAlignment="1">
      <alignment horizontal="center" vertical="center"/>
    </xf>
    <xf numFmtId="0" fontId="24" fillId="0" borderId="18" xfId="0" applyFont="1" applyBorder="1" applyAlignment="1">
      <alignment horizontal="center" vertical="center"/>
    </xf>
    <xf numFmtId="0" fontId="28" fillId="0" borderId="31" xfId="0" applyFont="1" applyBorder="1"/>
    <xf numFmtId="0" fontId="19" fillId="0" borderId="32" xfId="0" applyFont="1" applyBorder="1"/>
    <xf numFmtId="0" fontId="34" fillId="0" borderId="31" xfId="0" applyFont="1" applyBorder="1"/>
    <xf numFmtId="0" fontId="34" fillId="0" borderId="33" xfId="0" applyFont="1" applyBorder="1"/>
    <xf numFmtId="15" fontId="34" fillId="0" borderId="6" xfId="0" applyNumberFormat="1" applyFont="1" applyBorder="1" applyAlignment="1">
      <alignment horizontal="center"/>
    </xf>
    <xf numFmtId="15" fontId="34" fillId="0" borderId="23" xfId="0" quotePrefix="1" applyNumberFormat="1" applyFont="1" applyBorder="1" applyAlignment="1">
      <alignment horizontal="center"/>
    </xf>
    <xf numFmtId="15" fontId="34" fillId="0" borderId="0" xfId="0" applyNumberFormat="1" applyFont="1" applyAlignment="1">
      <alignment horizontal="center"/>
    </xf>
    <xf numFmtId="0" fontId="59" fillId="0" borderId="0" xfId="0" applyFont="1"/>
    <xf numFmtId="0" fontId="34" fillId="0" borderId="11" xfId="0" applyFont="1" applyBorder="1" applyAlignment="1">
      <alignment horizontal="center"/>
    </xf>
    <xf numFmtId="0" fontId="35" fillId="0" borderId="34" xfId="0" applyFont="1" applyBorder="1" applyAlignment="1">
      <alignment horizontal="center"/>
    </xf>
    <xf numFmtId="10" fontId="36" fillId="0" borderId="0" xfId="2" applyNumberFormat="1" applyFont="1" applyFill="1" applyBorder="1"/>
    <xf numFmtId="0" fontId="38" fillId="3" borderId="19" xfId="0" applyFont="1" applyFill="1" applyBorder="1"/>
    <xf numFmtId="0" fontId="60" fillId="0" borderId="0" xfId="0" applyFont="1" applyAlignment="1">
      <alignment horizontal="left" vertical="top" wrapText="1"/>
    </xf>
    <xf numFmtId="0" fontId="37" fillId="0" borderId="0" xfId="0" applyFont="1" applyAlignment="1">
      <alignment horizontal="left" vertical="center"/>
    </xf>
    <xf numFmtId="0" fontId="28" fillId="0" borderId="27" xfId="0" applyFont="1" applyBorder="1" applyAlignment="1">
      <alignment horizontal="center"/>
    </xf>
    <xf numFmtId="0" fontId="37" fillId="3" borderId="25" xfId="0" applyFont="1" applyFill="1" applyBorder="1" applyAlignment="1">
      <alignment horizontal="center"/>
    </xf>
    <xf numFmtId="0" fontId="19" fillId="3" borderId="25" xfId="0" applyFont="1" applyFill="1" applyBorder="1" applyAlignment="1">
      <alignment horizontal="center"/>
    </xf>
    <xf numFmtId="0" fontId="37" fillId="3" borderId="26" xfId="0" applyFont="1" applyFill="1" applyBorder="1" applyAlignment="1">
      <alignment horizontal="center"/>
    </xf>
    <xf numFmtId="0" fontId="19" fillId="3" borderId="26" xfId="0" applyFont="1" applyFill="1" applyBorder="1" applyAlignment="1">
      <alignment horizontal="center"/>
    </xf>
    <xf numFmtId="43" fontId="24" fillId="0" borderId="0" xfId="1" applyFont="1" applyFill="1" applyBorder="1" applyAlignment="1">
      <alignment horizontal="center" vertical="center"/>
    </xf>
    <xf numFmtId="0" fontId="28" fillId="0" borderId="24" xfId="0" applyFont="1" applyBorder="1" applyAlignment="1">
      <alignment horizontal="center"/>
    </xf>
    <xf numFmtId="0" fontId="19" fillId="3" borderId="28" xfId="0" applyFont="1" applyFill="1" applyBorder="1" applyAlignment="1">
      <alignment horizontal="center"/>
    </xf>
    <xf numFmtId="0" fontId="19" fillId="3" borderId="29" xfId="0" applyFont="1" applyFill="1" applyBorder="1" applyAlignment="1">
      <alignment horizontal="center"/>
    </xf>
    <xf numFmtId="0" fontId="19" fillId="3" borderId="20" xfId="0" applyFont="1" applyFill="1" applyBorder="1" applyAlignment="1">
      <alignment horizontal="center"/>
    </xf>
    <xf numFmtId="0" fontId="19" fillId="3" borderId="22" xfId="0" applyFont="1" applyFill="1" applyBorder="1" applyAlignment="1">
      <alignment horizontal="center"/>
    </xf>
    <xf numFmtId="0" fontId="37" fillId="3" borderId="24" xfId="0" applyFont="1" applyFill="1" applyBorder="1" applyAlignment="1">
      <alignment horizontal="center"/>
    </xf>
    <xf numFmtId="1" fontId="22" fillId="0" borderId="0" xfId="0" applyNumberFormat="1" applyFont="1" applyAlignment="1">
      <alignment horizontal="center"/>
    </xf>
    <xf numFmtId="164" fontId="22" fillId="0" borderId="0" xfId="1" applyNumberFormat="1" applyFont="1" applyFill="1" applyAlignment="1">
      <alignment horizontal="center"/>
    </xf>
    <xf numFmtId="164" fontId="22" fillId="0" borderId="1" xfId="1" applyNumberFormat="1" applyFont="1" applyFill="1" applyBorder="1" applyAlignment="1">
      <alignment horizontal="center"/>
    </xf>
    <xf numFmtId="0" fontId="40" fillId="0" borderId="13" xfId="0" applyFont="1" applyBorder="1" applyAlignment="1">
      <alignment horizontal="center"/>
    </xf>
    <xf numFmtId="0" fontId="40" fillId="0" borderId="3" xfId="0" applyFont="1" applyBorder="1" applyAlignment="1">
      <alignment horizontal="center"/>
    </xf>
    <xf numFmtId="0" fontId="35" fillId="0" borderId="35" xfId="0" applyFont="1" applyBorder="1" applyAlignment="1">
      <alignment horizontal="center"/>
    </xf>
    <xf numFmtId="0" fontId="35" fillId="0" borderId="16" xfId="0" applyFont="1" applyBorder="1" applyAlignment="1">
      <alignment horizontal="center"/>
    </xf>
    <xf numFmtId="0" fontId="0" fillId="0" borderId="8" xfId="0" applyBorder="1"/>
    <xf numFmtId="0" fontId="0" fillId="0" borderId="13" xfId="0" applyBorder="1"/>
    <xf numFmtId="0" fontId="34" fillId="0" borderId="15" xfId="0" applyFont="1" applyBorder="1" applyAlignment="1">
      <alignment horizontal="right"/>
    </xf>
    <xf numFmtId="0" fontId="34" fillId="0" borderId="8" xfId="0" applyFont="1" applyBorder="1"/>
    <xf numFmtId="164" fontId="38" fillId="0" borderId="3" xfId="1" applyNumberFormat="1" applyFont="1" applyFill="1" applyBorder="1" applyAlignment="1">
      <alignment horizontal="center"/>
    </xf>
    <xf numFmtId="2" fontId="15" fillId="0" borderId="4" xfId="0" applyNumberFormat="1" applyFont="1" applyBorder="1" applyAlignment="1">
      <alignment horizontal="center"/>
    </xf>
    <xf numFmtId="0" fontId="35" fillId="0" borderId="36" xfId="0" applyFont="1" applyBorder="1" applyAlignment="1">
      <alignment horizontal="center"/>
    </xf>
    <xf numFmtId="164" fontId="0" fillId="0" borderId="0" xfId="1" applyNumberFormat="1" applyFont="1"/>
    <xf numFmtId="164" fontId="21" fillId="0" borderId="0" xfId="0" applyNumberFormat="1" applyFont="1" applyAlignment="1">
      <alignment horizontal="right"/>
    </xf>
    <xf numFmtId="10" fontId="38" fillId="0" borderId="15" xfId="2" applyNumberFormat="1" applyFont="1" applyFill="1" applyBorder="1"/>
    <xf numFmtId="43" fontId="24" fillId="0" borderId="15" xfId="1" applyFont="1" applyFill="1" applyBorder="1" applyAlignment="1">
      <alignment horizontal="center" vertical="center"/>
    </xf>
    <xf numFmtId="0" fontId="0" fillId="0" borderId="6" xfId="0" applyBorder="1"/>
    <xf numFmtId="10" fontId="22" fillId="0" borderId="0" xfId="2" applyNumberFormat="1" applyFont="1" applyFill="1" applyAlignment="1">
      <alignment horizontal="center" vertical="center"/>
    </xf>
    <xf numFmtId="10" fontId="22" fillId="0" borderId="1" xfId="2" applyNumberFormat="1" applyFont="1" applyFill="1" applyBorder="1" applyAlignment="1">
      <alignment horizontal="center" vertical="center"/>
    </xf>
    <xf numFmtId="166" fontId="22" fillId="0" borderId="0" xfId="1" applyNumberFormat="1" applyFont="1" applyFill="1" applyAlignment="1">
      <alignment horizontal="center" vertical="center"/>
    </xf>
    <xf numFmtId="10" fontId="22" fillId="0" borderId="0" xfId="2" applyNumberFormat="1" applyFont="1" applyFill="1" applyAlignment="1">
      <alignment horizontal="right" vertical="center"/>
    </xf>
    <xf numFmtId="0" fontId="36" fillId="0" borderId="17" xfId="0" applyFont="1" applyBorder="1"/>
    <xf numFmtId="10" fontId="36" fillId="0" borderId="27" xfId="2" applyNumberFormat="1" applyFont="1" applyFill="1" applyBorder="1"/>
    <xf numFmtId="43" fontId="36" fillId="0" borderId="27" xfId="1" applyFont="1" applyFill="1" applyBorder="1"/>
    <xf numFmtId="0" fontId="36" fillId="0" borderId="27" xfId="0" applyFont="1" applyBorder="1"/>
    <xf numFmtId="2" fontId="36" fillId="0" borderId="27" xfId="0" applyNumberFormat="1" applyFont="1" applyBorder="1"/>
    <xf numFmtId="43" fontId="22" fillId="0" borderId="0" xfId="1" applyFont="1" applyFill="1" applyAlignment="1">
      <alignment horizontal="center"/>
    </xf>
    <xf numFmtId="10" fontId="21" fillId="0" borderId="0" xfId="2" applyNumberFormat="1" applyFont="1" applyFill="1" applyAlignment="1">
      <alignment horizontal="right" vertical="center"/>
    </xf>
    <xf numFmtId="10" fontId="21" fillId="0" borderId="0" xfId="2" applyNumberFormat="1" applyFont="1" applyFill="1" applyBorder="1" applyAlignment="1">
      <alignment horizontal="right" vertical="center"/>
    </xf>
    <xf numFmtId="10" fontId="23" fillId="0" borderId="15" xfId="2" applyNumberFormat="1" applyFont="1" applyFill="1" applyBorder="1"/>
    <xf numFmtId="44" fontId="22" fillId="0" borderId="0" xfId="3" applyFont="1" applyFill="1" applyAlignment="1">
      <alignment horizontal="center"/>
    </xf>
    <xf numFmtId="10" fontId="23" fillId="0" borderId="15" xfId="2" applyNumberFormat="1" applyFont="1" applyFill="1" applyBorder="1" applyAlignment="1">
      <alignment horizontal="center"/>
    </xf>
    <xf numFmtId="0" fontId="62" fillId="0" borderId="0" xfId="0" applyFont="1"/>
    <xf numFmtId="0" fontId="19" fillId="0" borderId="22" xfId="0" applyFont="1" applyBorder="1"/>
    <xf numFmtId="0" fontId="0" fillId="0" borderId="32" xfId="0" applyBorder="1"/>
    <xf numFmtId="10" fontId="22" fillId="0" borderId="0" xfId="2" applyNumberFormat="1" applyFont="1" applyAlignment="1">
      <alignment horizontal="right"/>
    </xf>
    <xf numFmtId="0" fontId="15" fillId="0" borderId="0" xfId="0" applyFont="1" applyAlignment="1">
      <alignment horizontal="center"/>
    </xf>
    <xf numFmtId="3" fontId="38" fillId="0" borderId="3" xfId="0" applyNumberFormat="1" applyFont="1" applyBorder="1"/>
    <xf numFmtId="3" fontId="38" fillId="0" borderId="13" xfId="0" applyNumberFormat="1" applyFont="1" applyBorder="1"/>
    <xf numFmtId="3" fontId="38" fillId="0" borderId="9" xfId="0" applyNumberFormat="1" applyFont="1" applyBorder="1"/>
    <xf numFmtId="3" fontId="38" fillId="0" borderId="12" xfId="0" applyNumberFormat="1" applyFont="1" applyBorder="1"/>
    <xf numFmtId="168" fontId="28" fillId="0" borderId="15" xfId="2" applyNumberFormat="1" applyFont="1" applyFill="1" applyBorder="1" applyAlignment="1">
      <alignment horizontal="center"/>
    </xf>
    <xf numFmtId="164" fontId="22" fillId="0" borderId="0" xfId="1" applyNumberFormat="1" applyFont="1" applyFill="1" applyAlignment="1"/>
    <xf numFmtId="164" fontId="22" fillId="0" borderId="1" xfId="1" applyNumberFormat="1" applyFont="1" applyFill="1" applyBorder="1" applyAlignment="1"/>
    <xf numFmtId="43" fontId="22" fillId="0" borderId="1" xfId="1" applyFont="1" applyFill="1" applyBorder="1" applyAlignment="1"/>
    <xf numFmtId="43" fontId="22" fillId="0" borderId="1" xfId="1" applyFont="1" applyFill="1" applyBorder="1" applyAlignment="1">
      <alignment horizontal="right" vertical="center"/>
    </xf>
    <xf numFmtId="10" fontId="22" fillId="0" borderId="1" xfId="2" applyNumberFormat="1" applyFont="1" applyFill="1" applyBorder="1" applyAlignment="1">
      <alignment horizontal="right" vertical="center"/>
    </xf>
    <xf numFmtId="43" fontId="38" fillId="0" borderId="1" xfId="1" applyFont="1" applyBorder="1" applyAlignment="1">
      <alignment horizontal="right" vertical="center"/>
    </xf>
    <xf numFmtId="43" fontId="38" fillId="0" borderId="1" xfId="1" applyFont="1" applyFill="1" applyBorder="1" applyAlignment="1">
      <alignment horizontal="right" vertical="center"/>
    </xf>
    <xf numFmtId="0" fontId="21" fillId="0" borderId="1" xfId="0" applyFont="1" applyBorder="1" applyAlignment="1">
      <alignment horizontal="right"/>
    </xf>
    <xf numFmtId="10" fontId="22" fillId="0" borderId="1" xfId="2" applyNumberFormat="1" applyFont="1" applyBorder="1" applyAlignment="1">
      <alignment horizontal="right" vertical="center"/>
    </xf>
    <xf numFmtId="0" fontId="34" fillId="0" borderId="1" xfId="0" applyFont="1" applyBorder="1" applyAlignment="1">
      <alignment horizontal="right"/>
    </xf>
    <xf numFmtId="166" fontId="22" fillId="0" borderId="1" xfId="1" applyNumberFormat="1" applyFont="1" applyFill="1" applyBorder="1" applyAlignment="1">
      <alignment horizontal="center" vertical="center"/>
    </xf>
    <xf numFmtId="2" fontId="22" fillId="0" borderId="1" xfId="0" applyNumberFormat="1" applyFont="1" applyBorder="1" applyAlignment="1">
      <alignment horizontal="right" vertical="center"/>
    </xf>
    <xf numFmtId="0" fontId="28" fillId="0" borderId="8" xfId="0" applyFont="1" applyBorder="1" applyAlignment="1">
      <alignment horizontal="center" vertical="center"/>
    </xf>
    <xf numFmtId="0" fontId="19" fillId="0" borderId="0" xfId="0" applyFont="1" applyAlignment="1">
      <alignment horizontal="right"/>
    </xf>
    <xf numFmtId="10" fontId="28" fillId="0" borderId="0" xfId="2" applyNumberFormat="1" applyFont="1" applyFill="1" applyBorder="1" applyAlignment="1">
      <alignment horizontal="center" vertical="center"/>
    </xf>
    <xf numFmtId="10" fontId="28" fillId="0" borderId="2" xfId="2" applyNumberFormat="1" applyFont="1" applyBorder="1" applyAlignment="1">
      <alignment horizontal="center" vertical="center"/>
    </xf>
    <xf numFmtId="0" fontId="19" fillId="0" borderId="20" xfId="0" applyFont="1" applyBorder="1"/>
    <xf numFmtId="168" fontId="21" fillId="0" borderId="20" xfId="0" applyNumberFormat="1" applyFont="1" applyBorder="1" applyAlignment="1">
      <alignment horizontal="center" vertical="center"/>
    </xf>
    <xf numFmtId="10" fontId="28" fillId="0" borderId="0" xfId="2" applyNumberFormat="1" applyFont="1" applyAlignment="1">
      <alignment horizontal="left"/>
    </xf>
    <xf numFmtId="10" fontId="23" fillId="0" borderId="0" xfId="2" applyNumberFormat="1" applyFont="1" applyFill="1" applyAlignment="1">
      <alignment horizontal="center"/>
    </xf>
    <xf numFmtId="0" fontId="64" fillId="0" borderId="0" xfId="0" applyFont="1"/>
    <xf numFmtId="10" fontId="34" fillId="0" borderId="25" xfId="2" applyNumberFormat="1" applyFont="1" applyFill="1" applyBorder="1" applyAlignment="1">
      <alignment horizontal="center"/>
    </xf>
    <xf numFmtId="0" fontId="18" fillId="0" borderId="0" xfId="6" applyFill="1" applyAlignment="1" applyProtection="1"/>
    <xf numFmtId="0" fontId="65" fillId="0" borderId="0" xfId="6" applyFont="1" applyFill="1" applyAlignment="1" applyProtection="1"/>
    <xf numFmtId="0" fontId="21" fillId="0" borderId="28" xfId="0" applyFont="1" applyBorder="1" applyAlignment="1">
      <alignment horizontal="right"/>
    </xf>
    <xf numFmtId="0" fontId="21" fillId="0" borderId="29" xfId="0" applyFont="1" applyBorder="1" applyAlignment="1">
      <alignment horizontal="left"/>
    </xf>
    <xf numFmtId="0" fontId="21" fillId="0" borderId="19" xfId="0" applyFont="1" applyBorder="1" applyAlignment="1">
      <alignment horizontal="right"/>
    </xf>
    <xf numFmtId="0" fontId="21" fillId="0" borderId="20" xfId="0" applyFont="1" applyBorder="1" applyAlignment="1">
      <alignment horizontal="left"/>
    </xf>
    <xf numFmtId="0" fontId="21" fillId="0" borderId="21" xfId="0" applyFont="1" applyBorder="1" applyAlignment="1">
      <alignment horizontal="right"/>
    </xf>
    <xf numFmtId="0" fontId="21" fillId="0" borderId="22" xfId="0" applyFont="1" applyBorder="1" applyAlignment="1">
      <alignment horizontal="left"/>
    </xf>
    <xf numFmtId="168" fontId="34" fillId="0" borderId="26" xfId="2" applyNumberFormat="1" applyFont="1" applyFill="1" applyBorder="1" applyAlignment="1">
      <alignment horizontal="center"/>
    </xf>
    <xf numFmtId="10" fontId="46" fillId="0" borderId="15" xfId="2" applyNumberFormat="1" applyFont="1" applyFill="1" applyBorder="1" applyAlignment="1">
      <alignment horizontal="center"/>
    </xf>
    <xf numFmtId="10" fontId="22" fillId="0" borderId="9" xfId="2" applyNumberFormat="1" applyFont="1" applyFill="1" applyBorder="1" applyAlignment="1">
      <alignment horizontal="center"/>
    </xf>
    <xf numFmtId="10" fontId="22" fillId="0" borderId="9" xfId="1" applyNumberFormat="1" applyFont="1" applyFill="1" applyBorder="1" applyAlignment="1">
      <alignment horizontal="center"/>
    </xf>
    <xf numFmtId="0" fontId="38" fillId="0" borderId="7" xfId="0" applyFont="1" applyBorder="1"/>
    <xf numFmtId="3" fontId="63" fillId="0" borderId="0" xfId="0" applyNumberFormat="1" applyFont="1"/>
    <xf numFmtId="0" fontId="38" fillId="0" borderId="8" xfId="0" applyFont="1" applyBorder="1"/>
    <xf numFmtId="0" fontId="22" fillId="0" borderId="3" xfId="0" applyFont="1" applyBorder="1" applyAlignment="1">
      <alignment horizontal="center"/>
    </xf>
    <xf numFmtId="3" fontId="38" fillId="0" borderId="2" xfId="0" applyNumberFormat="1" applyFont="1" applyBorder="1"/>
    <xf numFmtId="164" fontId="38" fillId="0" borderId="2" xfId="1" applyNumberFormat="1" applyFont="1" applyFill="1" applyBorder="1"/>
    <xf numFmtId="10" fontId="38" fillId="0" borderId="2" xfId="2" applyNumberFormat="1" applyFont="1" applyFill="1" applyBorder="1"/>
    <xf numFmtId="10" fontId="38" fillId="0" borderId="13" xfId="2" applyNumberFormat="1" applyFont="1" applyFill="1" applyBorder="1"/>
    <xf numFmtId="0" fontId="19" fillId="2" borderId="0" xfId="0" applyFont="1" applyFill="1"/>
    <xf numFmtId="0" fontId="20" fillId="0" borderId="19" xfId="0" applyFont="1" applyBorder="1"/>
    <xf numFmtId="0" fontId="34" fillId="0" borderId="5" xfId="0" applyFont="1" applyBorder="1"/>
    <xf numFmtId="164" fontId="38" fillId="0" borderId="23" xfId="1" applyNumberFormat="1" applyFont="1" applyFill="1" applyBorder="1" applyAlignment="1">
      <alignment horizontal="center"/>
    </xf>
    <xf numFmtId="0" fontId="34" fillId="0" borderId="38" xfId="0" applyFont="1" applyBorder="1" applyAlignment="1">
      <alignment horizontal="center"/>
    </xf>
    <xf numFmtId="10" fontId="22" fillId="0" borderId="4" xfId="2" applyNumberFormat="1" applyFont="1" applyFill="1" applyBorder="1" applyAlignment="1">
      <alignment horizontal="center"/>
    </xf>
    <xf numFmtId="10" fontId="49" fillId="0" borderId="0" xfId="2" applyNumberFormat="1" applyFont="1" applyFill="1" applyBorder="1" applyAlignment="1">
      <alignment horizontal="center"/>
    </xf>
    <xf numFmtId="10" fontId="27" fillId="0" borderId="0" xfId="2" applyNumberFormat="1" applyFont="1" applyFill="1" applyAlignment="1">
      <alignment horizontal="center"/>
    </xf>
    <xf numFmtId="2" fontId="38" fillId="0" borderId="3" xfId="0" applyNumberFormat="1" applyFont="1" applyBorder="1" applyAlignment="1">
      <alignment horizontal="center"/>
    </xf>
    <xf numFmtId="164" fontId="38" fillId="0" borderId="13" xfId="1" applyNumberFormat="1" applyFont="1" applyFill="1" applyBorder="1" applyAlignment="1">
      <alignment horizontal="center"/>
    </xf>
    <xf numFmtId="0" fontId="67" fillId="0" borderId="3" xfId="0" applyFont="1" applyBorder="1" applyAlignment="1">
      <alignment horizontal="center"/>
    </xf>
    <xf numFmtId="3" fontId="63" fillId="0" borderId="12" xfId="0" applyNumberFormat="1" applyFont="1" applyBorder="1" applyAlignment="1">
      <alignment horizontal="right" vertical="center" wrapText="1"/>
    </xf>
    <xf numFmtId="10" fontId="34" fillId="0" borderId="1" xfId="2" applyNumberFormat="1" applyFont="1" applyFill="1" applyBorder="1"/>
    <xf numFmtId="2" fontId="22" fillId="0" borderId="0" xfId="0" applyNumberFormat="1" applyFont="1" applyAlignment="1">
      <alignment horizontal="right"/>
    </xf>
    <xf numFmtId="0" fontId="19" fillId="0" borderId="4" xfId="0" applyFont="1" applyBorder="1" applyAlignment="1">
      <alignment horizontal="right"/>
    </xf>
    <xf numFmtId="0" fontId="28" fillId="0" borderId="3" xfId="0" applyFont="1" applyBorder="1" applyAlignment="1">
      <alignment horizontal="center"/>
    </xf>
    <xf numFmtId="0" fontId="34" fillId="5" borderId="39" xfId="0" applyFont="1" applyFill="1" applyBorder="1"/>
    <xf numFmtId="10" fontId="38" fillId="5" borderId="39" xfId="2" applyNumberFormat="1" applyFont="1" applyFill="1" applyBorder="1" applyAlignment="1">
      <alignment horizontal="center"/>
    </xf>
    <xf numFmtId="0" fontId="19" fillId="0" borderId="19" xfId="0" applyFont="1" applyBorder="1"/>
    <xf numFmtId="0" fontId="34" fillId="5" borderId="19" xfId="0" applyFont="1" applyFill="1" applyBorder="1"/>
    <xf numFmtId="10" fontId="38" fillId="5" borderId="19" xfId="2" applyNumberFormat="1" applyFont="1" applyFill="1" applyBorder="1" applyAlignment="1">
      <alignment horizontal="center"/>
    </xf>
    <xf numFmtId="0" fontId="38" fillId="5" borderId="19" xfId="0" applyFont="1" applyFill="1" applyBorder="1"/>
    <xf numFmtId="10" fontId="19" fillId="0" borderId="19" xfId="2" applyNumberFormat="1" applyFont="1" applyFill="1" applyBorder="1"/>
    <xf numFmtId="0" fontId="34" fillId="5" borderId="21" xfId="0" applyFont="1" applyFill="1" applyBorder="1"/>
    <xf numFmtId="10" fontId="38" fillId="5" borderId="21" xfId="2" applyNumberFormat="1" applyFont="1" applyFill="1" applyBorder="1" applyAlignment="1">
      <alignment horizontal="center"/>
    </xf>
    <xf numFmtId="10" fontId="19" fillId="0" borderId="19" xfId="0" applyNumberFormat="1" applyFont="1" applyBorder="1"/>
    <xf numFmtId="0" fontId="38" fillId="3" borderId="21" xfId="0" applyFont="1" applyFill="1" applyBorder="1"/>
    <xf numFmtId="10" fontId="38" fillId="3" borderId="26" xfId="2" applyNumberFormat="1" applyFont="1" applyFill="1" applyBorder="1" applyAlignment="1">
      <alignment horizontal="center"/>
    </xf>
    <xf numFmtId="0" fontId="38" fillId="0" borderId="17" xfId="0" applyFont="1" applyBorder="1"/>
    <xf numFmtId="10" fontId="38" fillId="0" borderId="27" xfId="2" applyNumberFormat="1" applyFont="1" applyFill="1" applyBorder="1" applyAlignment="1">
      <alignment horizontal="center"/>
    </xf>
    <xf numFmtId="2" fontId="38" fillId="0" borderId="0" xfId="0" applyNumberFormat="1" applyFont="1" applyAlignment="1">
      <alignment horizontal="right"/>
    </xf>
    <xf numFmtId="2" fontId="38" fillId="0" borderId="12" xfId="0" applyNumberFormat="1" applyFont="1" applyBorder="1" applyAlignment="1">
      <alignment horizontal="right"/>
    </xf>
    <xf numFmtId="2" fontId="38" fillId="0" borderId="4" xfId="0" applyNumberFormat="1" applyFont="1" applyBorder="1" applyAlignment="1">
      <alignment horizontal="right"/>
    </xf>
    <xf numFmtId="2" fontId="38" fillId="0" borderId="37" xfId="0" applyNumberFormat="1" applyFont="1" applyBorder="1" applyAlignment="1">
      <alignment horizontal="right"/>
    </xf>
    <xf numFmtId="10" fontId="68" fillId="0" borderId="0" xfId="2" applyNumberFormat="1" applyFont="1" applyFill="1" applyAlignment="1">
      <alignment horizontal="right"/>
    </xf>
    <xf numFmtId="10" fontId="21" fillId="0" borderId="0" xfId="0" applyNumberFormat="1" applyFont="1" applyAlignment="1">
      <alignment horizontal="right"/>
    </xf>
    <xf numFmtId="2" fontId="15" fillId="0" borderId="0" xfId="0" applyNumberFormat="1" applyFont="1" applyAlignment="1">
      <alignment horizontal="right"/>
    </xf>
    <xf numFmtId="0" fontId="66" fillId="0" borderId="23" xfId="0" applyFont="1" applyBorder="1" applyAlignment="1">
      <alignment horizontal="center" wrapText="1"/>
    </xf>
    <xf numFmtId="10" fontId="22" fillId="0" borderId="23" xfId="2" applyNumberFormat="1" applyFont="1" applyFill="1" applyBorder="1" applyAlignment="1">
      <alignment horizontal="center"/>
    </xf>
    <xf numFmtId="10" fontId="22" fillId="0" borderId="3" xfId="2" applyNumberFormat="1" applyFont="1" applyFill="1" applyBorder="1" applyAlignment="1">
      <alignment horizontal="center"/>
    </xf>
    <xf numFmtId="10" fontId="22" fillId="0" borderId="3" xfId="1" applyNumberFormat="1" applyFont="1" applyFill="1" applyBorder="1" applyAlignment="1">
      <alignment horizontal="center"/>
    </xf>
    <xf numFmtId="10" fontId="22" fillId="0" borderId="23" xfId="1" applyNumberFormat="1" applyFont="1" applyFill="1" applyBorder="1" applyAlignment="1">
      <alignment horizontal="center"/>
    </xf>
    <xf numFmtId="0" fontId="62" fillId="0" borderId="23" xfId="0" applyFont="1" applyBorder="1"/>
    <xf numFmtId="0" fontId="62" fillId="0" borderId="9" xfId="0" applyFont="1" applyBorder="1"/>
    <xf numFmtId="0" fontId="62" fillId="0" borderId="3" xfId="0" applyFont="1" applyBorder="1"/>
    <xf numFmtId="0" fontId="62" fillId="0" borderId="15" xfId="0" applyFont="1" applyBorder="1"/>
    <xf numFmtId="0" fontId="19" fillId="0" borderId="8" xfId="0" applyFont="1" applyBorder="1"/>
    <xf numFmtId="0" fontId="19" fillId="0" borderId="13" xfId="0" applyFont="1" applyBorder="1"/>
    <xf numFmtId="10" fontId="38" fillId="3" borderId="19" xfId="2" applyNumberFormat="1" applyFont="1" applyFill="1" applyBorder="1" applyAlignment="1">
      <alignment horizontal="center"/>
    </xf>
    <xf numFmtId="0" fontId="34" fillId="5" borderId="25" xfId="0" applyFont="1" applyFill="1" applyBorder="1"/>
    <xf numFmtId="10" fontId="42" fillId="0" borderId="0" xfId="2" applyNumberFormat="1" applyFont="1" applyFill="1" applyBorder="1" applyAlignment="1">
      <alignment horizontal="center"/>
    </xf>
    <xf numFmtId="10" fontId="24" fillId="0" borderId="15" xfId="2" applyNumberFormat="1" applyFont="1" applyFill="1" applyBorder="1" applyAlignment="1">
      <alignment horizontal="center" vertical="center"/>
    </xf>
    <xf numFmtId="0" fontId="36" fillId="0" borderId="15" xfId="0" applyFont="1" applyBorder="1" applyAlignment="1">
      <alignment horizontal="center"/>
    </xf>
    <xf numFmtId="10" fontId="24" fillId="0" borderId="15" xfId="2" applyNumberFormat="1" applyFont="1" applyFill="1" applyBorder="1" applyAlignment="1">
      <alignment horizontal="center"/>
    </xf>
    <xf numFmtId="0" fontId="37" fillId="3" borderId="0" xfId="0" applyFont="1" applyFill="1" applyAlignment="1">
      <alignment horizontal="center"/>
    </xf>
    <xf numFmtId="0" fontId="19" fillId="3" borderId="40" xfId="0" applyFont="1" applyFill="1" applyBorder="1" applyAlignment="1">
      <alignment horizontal="center"/>
    </xf>
    <xf numFmtId="0" fontId="37" fillId="3" borderId="1" xfId="0" applyFont="1" applyFill="1" applyBorder="1" applyAlignment="1">
      <alignment horizontal="center"/>
    </xf>
    <xf numFmtId="0" fontId="37" fillId="3" borderId="28" xfId="0" applyFont="1" applyFill="1" applyBorder="1" applyAlignment="1">
      <alignment horizontal="center"/>
    </xf>
    <xf numFmtId="0" fontId="37" fillId="3" borderId="19" xfId="0" applyFont="1" applyFill="1" applyBorder="1" applyAlignment="1">
      <alignment horizontal="center"/>
    </xf>
    <xf numFmtId="0" fontId="37" fillId="3" borderId="21" xfId="0" applyFont="1" applyFill="1" applyBorder="1" applyAlignment="1">
      <alignment horizontal="center"/>
    </xf>
    <xf numFmtId="166" fontId="28" fillId="0" borderId="15" xfId="1" applyNumberFormat="1" applyFont="1" applyFill="1" applyBorder="1" applyAlignment="1">
      <alignment horizontal="center"/>
    </xf>
    <xf numFmtId="165" fontId="22" fillId="0" borderId="0" xfId="3" applyNumberFormat="1" applyFont="1" applyFill="1" applyAlignment="1">
      <alignment horizontal="center"/>
    </xf>
    <xf numFmtId="165" fontId="22" fillId="0" borderId="0" xfId="3" applyNumberFormat="1" applyFont="1" applyFill="1" applyAlignment="1">
      <alignment horizontal="right"/>
    </xf>
    <xf numFmtId="10" fontId="24" fillId="0" borderId="31" xfId="2" applyNumberFormat="1" applyFont="1" applyFill="1" applyBorder="1" applyAlignment="1">
      <alignment horizontal="right"/>
    </xf>
    <xf numFmtId="10" fontId="24" fillId="0" borderId="33" xfId="0" applyNumberFormat="1" applyFont="1" applyBorder="1"/>
    <xf numFmtId="10" fontId="69" fillId="0" borderId="0" xfId="2" applyNumberFormat="1" applyFont="1" applyFill="1" applyAlignment="1">
      <alignment horizontal="center"/>
    </xf>
    <xf numFmtId="168" fontId="34" fillId="0" borderId="24" xfId="2" applyNumberFormat="1" applyFont="1" applyFill="1" applyBorder="1" applyAlignment="1">
      <alignment horizontal="center"/>
    </xf>
    <xf numFmtId="10" fontId="42" fillId="0" borderId="15" xfId="2" applyNumberFormat="1" applyFont="1" applyFill="1" applyBorder="1" applyAlignment="1">
      <alignment horizontal="center"/>
    </xf>
    <xf numFmtId="0" fontId="0" fillId="0" borderId="19" xfId="0" applyBorder="1"/>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20" fillId="0" borderId="0" xfId="0" applyFont="1" applyAlignment="1">
      <alignment horizontal="left" vertical="top" wrapText="1"/>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E26B0A"/>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177799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257175</xdr:colOff>
      <xdr:row>40</xdr:row>
      <xdr:rowOff>57150</xdr:rowOff>
    </xdr:to>
    <xdr:pic>
      <xdr:nvPicPr>
        <xdr:cNvPr id="4" name="Picture 3">
          <a:extLst>
            <a:ext uri="{FF2B5EF4-FFF2-40B4-BE49-F238E27FC236}">
              <a16:creationId xmlns:a16="http://schemas.microsoft.com/office/drawing/2014/main" id="{A5758C1F-4221-0357-DFEB-6C79A8E04851}"/>
            </a:ext>
          </a:extLst>
        </xdr:cNvPr>
        <xdr:cNvPicPr>
          <a:picLocks noChangeAspect="1"/>
        </xdr:cNvPicPr>
      </xdr:nvPicPr>
      <xdr:blipFill>
        <a:blip xmlns:r="http://schemas.openxmlformats.org/officeDocument/2006/relationships" r:embed="rId1"/>
        <a:stretch>
          <a:fillRect/>
        </a:stretch>
      </xdr:blipFill>
      <xdr:spPr>
        <a:xfrm>
          <a:off x="9753600" y="190500"/>
          <a:ext cx="5743575" cy="7486650"/>
        </a:xfrm>
        <a:prstGeom prst="rect">
          <a:avLst/>
        </a:prstGeom>
      </xdr:spPr>
    </xdr:pic>
    <xdr:clientData/>
  </xdr:twoCellAnchor>
  <xdr:twoCellAnchor editAs="oneCell">
    <xdr:from>
      <xdr:col>11</xdr:col>
      <xdr:colOff>0</xdr:colOff>
      <xdr:row>1</xdr:row>
      <xdr:rowOff>0</xdr:rowOff>
    </xdr:from>
    <xdr:to>
      <xdr:col>23</xdr:col>
      <xdr:colOff>85725</xdr:colOff>
      <xdr:row>53</xdr:row>
      <xdr:rowOff>9525</xdr:rowOff>
    </xdr:to>
    <xdr:pic>
      <xdr:nvPicPr>
        <xdr:cNvPr id="2" name="Picture 1">
          <a:extLst>
            <a:ext uri="{FF2B5EF4-FFF2-40B4-BE49-F238E27FC236}">
              <a16:creationId xmlns:a16="http://schemas.microsoft.com/office/drawing/2014/main" id="{308D5946-EF83-8B04-C715-0DDFA34B9B6B}"/>
            </a:ext>
          </a:extLst>
        </xdr:cNvPr>
        <xdr:cNvPicPr>
          <a:picLocks noChangeAspect="1"/>
        </xdr:cNvPicPr>
      </xdr:nvPicPr>
      <xdr:blipFill>
        <a:blip xmlns:r="http://schemas.openxmlformats.org/officeDocument/2006/relationships" r:embed="rId2"/>
        <a:stretch>
          <a:fillRect/>
        </a:stretch>
      </xdr:blipFill>
      <xdr:spPr>
        <a:xfrm>
          <a:off x="6705600" y="190500"/>
          <a:ext cx="7400925" cy="9915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60" zoomScaleNormal="100" workbookViewId="0">
      <selection activeCell="A17" sqref="A17:I17"/>
    </sheetView>
  </sheetViews>
  <sheetFormatPr defaultRowHeight="15"/>
  <cols>
    <col min="5" max="5" width="12.28515625" customWidth="1"/>
    <col min="9" max="9" width="16.42578125" customWidth="1"/>
  </cols>
  <sheetData>
    <row r="1" spans="1:13" ht="18.75">
      <c r="A1" s="464" t="s">
        <v>0</v>
      </c>
      <c r="B1" s="465"/>
      <c r="C1" s="465"/>
      <c r="D1" s="465"/>
      <c r="E1" s="465"/>
      <c r="F1" s="465"/>
      <c r="G1" s="465"/>
      <c r="H1" s="465"/>
      <c r="I1" s="465"/>
    </row>
    <row r="5" spans="1:13" ht="27">
      <c r="E5" s="466" t="s">
        <v>0</v>
      </c>
      <c r="F5" s="467"/>
      <c r="G5" s="467"/>
      <c r="H5" s="467"/>
      <c r="I5" s="467"/>
      <c r="J5" s="467"/>
      <c r="K5" s="467"/>
      <c r="L5" s="467"/>
      <c r="M5" s="467"/>
    </row>
    <row r="7" spans="1:13" ht="27">
      <c r="A7" s="468" t="s">
        <v>31</v>
      </c>
      <c r="B7" s="469"/>
      <c r="C7" s="469"/>
      <c r="D7" s="469"/>
      <c r="E7" s="469"/>
      <c r="F7" s="469"/>
      <c r="G7" s="469"/>
      <c r="H7" s="469"/>
      <c r="I7" s="469"/>
    </row>
    <row r="8" spans="1:13" ht="27">
      <c r="A8" s="6"/>
      <c r="B8" s="7"/>
      <c r="C8" s="7"/>
      <c r="D8" s="7"/>
      <c r="E8" s="466" t="s">
        <v>0</v>
      </c>
      <c r="F8" s="467"/>
      <c r="G8" s="467"/>
      <c r="H8" s="467"/>
      <c r="I8" s="467"/>
      <c r="J8" s="467"/>
      <c r="K8" s="467"/>
      <c r="L8" s="467"/>
      <c r="M8" s="467"/>
    </row>
    <row r="9" spans="1:13" ht="27">
      <c r="A9" s="466" t="s">
        <v>76</v>
      </c>
      <c r="B9" s="467"/>
      <c r="C9" s="467"/>
      <c r="D9" s="467"/>
      <c r="E9" s="467"/>
      <c r="F9" s="467"/>
      <c r="G9" s="467"/>
      <c r="H9" s="467"/>
      <c r="I9" s="467"/>
    </row>
    <row r="15" spans="1:13">
      <c r="A15" s="461" t="s">
        <v>0</v>
      </c>
      <c r="B15" s="462"/>
      <c r="C15" s="462"/>
      <c r="D15" s="462"/>
      <c r="E15" s="462"/>
      <c r="F15" s="462"/>
      <c r="G15" s="462"/>
      <c r="H15" s="462"/>
      <c r="I15" s="462"/>
    </row>
    <row r="16" spans="1:13" ht="33.75">
      <c r="A16" s="459" t="str">
        <f>+'S&amp;D'!A12</f>
        <v>Natural Gas Transmission Pipeline Carrier</v>
      </c>
      <c r="B16" s="460"/>
      <c r="C16" s="460"/>
      <c r="D16" s="460"/>
      <c r="E16" s="460"/>
      <c r="F16" s="460"/>
      <c r="G16" s="460"/>
      <c r="H16" s="460"/>
      <c r="I16" s="460"/>
    </row>
    <row r="17" spans="1:9">
      <c r="A17" s="461" t="s">
        <v>0</v>
      </c>
      <c r="B17" s="462"/>
      <c r="C17" s="462"/>
      <c r="D17" s="462"/>
      <c r="E17" s="462"/>
      <c r="F17" s="462"/>
      <c r="G17" s="462"/>
      <c r="H17" s="462"/>
      <c r="I17" s="462"/>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61" t="s">
        <v>0</v>
      </c>
      <c r="B29" s="462"/>
      <c r="C29" s="462"/>
      <c r="D29" s="462"/>
      <c r="E29" s="462"/>
      <c r="F29" s="462"/>
      <c r="G29" s="462"/>
      <c r="H29" s="462"/>
      <c r="I29" s="462"/>
    </row>
    <row r="34" spans="1:9">
      <c r="A34" s="463"/>
      <c r="B34" s="463"/>
      <c r="C34" s="463"/>
      <c r="D34" s="463"/>
      <c r="E34" s="463"/>
      <c r="F34" s="463"/>
      <c r="G34" s="463"/>
      <c r="H34" s="463"/>
      <c r="I34" s="463"/>
    </row>
    <row r="35" spans="1:9">
      <c r="A35" s="463"/>
      <c r="B35" s="463"/>
      <c r="C35" s="463"/>
      <c r="D35" s="463"/>
      <c r="E35" s="463"/>
      <c r="F35" s="463"/>
      <c r="G35" s="463"/>
      <c r="H35" s="463"/>
      <c r="I35" s="463"/>
    </row>
    <row r="36" spans="1:9">
      <c r="A36" s="463"/>
      <c r="B36" s="463"/>
      <c r="C36" s="463"/>
      <c r="D36" s="463"/>
      <c r="E36" s="463"/>
      <c r="F36" s="463"/>
      <c r="G36" s="463"/>
      <c r="H36" s="463"/>
      <c r="I36" s="463"/>
    </row>
    <row r="37" spans="1:9">
      <c r="A37" s="463"/>
      <c r="B37" s="463"/>
      <c r="C37" s="463"/>
      <c r="D37" s="463"/>
      <c r="E37" s="463"/>
      <c r="F37" s="463"/>
      <c r="G37" s="463"/>
      <c r="H37" s="463"/>
      <c r="I37" s="463"/>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L37"/>
  <sheetViews>
    <sheetView view="pageBreakPreview" zoomScale="70" zoomScaleNormal="80" zoomScaleSheetLayoutView="70" workbookViewId="0">
      <selection activeCell="H6" sqref="H6"/>
    </sheetView>
  </sheetViews>
  <sheetFormatPr defaultRowHeight="15"/>
  <cols>
    <col min="1" max="1" width="48.28515625" customWidth="1"/>
    <col min="2" max="2" width="10.85546875" bestFit="1" customWidth="1"/>
    <col min="3" max="3" width="23"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 min="12" max="12" width="14.85546875" bestFit="1" customWidth="1"/>
  </cols>
  <sheetData>
    <row r="1" spans="1:11" ht="20.25">
      <c r="A1" s="23" t="s">
        <v>1</v>
      </c>
      <c r="B1" s="12"/>
      <c r="C1" s="12"/>
      <c r="D1" s="12"/>
      <c r="E1" s="12"/>
      <c r="F1" s="12"/>
      <c r="G1" s="12"/>
      <c r="H1" s="12"/>
      <c r="I1" s="12"/>
      <c r="J1" s="12"/>
      <c r="K1" s="12"/>
    </row>
    <row r="2" spans="1:11" ht="15.75">
      <c r="A2" s="24" t="s">
        <v>9</v>
      </c>
      <c r="B2" s="12"/>
      <c r="C2" s="12"/>
      <c r="D2" s="12"/>
      <c r="E2" s="12"/>
      <c r="F2" s="12"/>
      <c r="G2" s="12"/>
      <c r="H2" s="12"/>
      <c r="I2" s="12"/>
      <c r="J2" s="12"/>
      <c r="K2" s="12"/>
    </row>
    <row r="3" spans="1:11">
      <c r="A3" s="25" t="s">
        <v>63</v>
      </c>
      <c r="B3" s="12"/>
      <c r="C3" s="12"/>
      <c r="D3" s="12"/>
      <c r="E3" s="12"/>
      <c r="F3" s="12"/>
      <c r="G3" s="12"/>
      <c r="H3" s="12"/>
      <c r="I3" s="12"/>
      <c r="J3" s="12"/>
      <c r="K3" s="12"/>
    </row>
    <row r="4" spans="1:11">
      <c r="A4" s="25"/>
      <c r="B4" s="12"/>
      <c r="C4" s="12"/>
      <c r="D4" s="12"/>
      <c r="E4" s="12"/>
      <c r="F4" s="12"/>
      <c r="G4" s="12"/>
      <c r="H4" s="12"/>
      <c r="I4" s="12"/>
      <c r="J4" s="12"/>
      <c r="K4" s="12"/>
    </row>
    <row r="5" spans="1:11" ht="15.75" thickBot="1">
      <c r="A5" s="12"/>
      <c r="B5" s="12"/>
      <c r="C5" s="12"/>
      <c r="D5" s="12"/>
      <c r="E5" s="12"/>
      <c r="F5" s="26" t="s">
        <v>0</v>
      </c>
      <c r="G5" s="26"/>
      <c r="H5" s="12"/>
      <c r="I5" s="12"/>
      <c r="J5" s="12"/>
      <c r="K5" s="12"/>
    </row>
    <row r="6" spans="1:11" ht="18.75" thickBot="1">
      <c r="A6" s="278" t="str">
        <f>+'S&amp;D'!A12</f>
        <v>Natural Gas Transmission Pipeline Carrier</v>
      </c>
      <c r="B6" s="205"/>
      <c r="C6" s="12"/>
      <c r="D6" s="28"/>
      <c r="E6" s="28"/>
      <c r="F6" s="28"/>
      <c r="G6" s="12"/>
      <c r="H6" s="12"/>
      <c r="I6" s="12"/>
      <c r="J6" s="12"/>
      <c r="K6" s="12"/>
    </row>
    <row r="7" spans="1:11" ht="20.25">
      <c r="A7" s="30"/>
      <c r="B7" s="12"/>
      <c r="C7" s="12"/>
      <c r="D7" s="12"/>
      <c r="E7" s="31" t="s">
        <v>196</v>
      </c>
      <c r="F7" s="12"/>
      <c r="G7" s="12"/>
      <c r="H7" s="12"/>
      <c r="I7" s="12"/>
      <c r="J7" s="12"/>
      <c r="K7" s="12"/>
    </row>
    <row r="8" spans="1:11" ht="15.75" thickBot="1">
      <c r="A8" s="40" t="s">
        <v>0</v>
      </c>
      <c r="B8" s="40" t="s">
        <v>0</v>
      </c>
      <c r="C8" s="40" t="s">
        <v>0</v>
      </c>
      <c r="D8" s="33" t="s">
        <v>0</v>
      </c>
      <c r="E8" s="32" t="s">
        <v>77</v>
      </c>
      <c r="F8" s="33" t="s">
        <v>0</v>
      </c>
      <c r="G8" s="40"/>
      <c r="H8" s="40" t="s">
        <v>0</v>
      </c>
      <c r="I8" s="40" t="s">
        <v>0</v>
      </c>
      <c r="J8" s="12"/>
      <c r="K8" s="12"/>
    </row>
    <row r="9" spans="1:11">
      <c r="A9" s="40"/>
      <c r="B9" s="40"/>
      <c r="H9" s="40"/>
      <c r="I9" s="40"/>
      <c r="J9" s="12"/>
      <c r="K9" s="12"/>
    </row>
    <row r="10" spans="1:11">
      <c r="A10" s="40"/>
      <c r="B10" s="40"/>
      <c r="E10" s="13" t="s">
        <v>0</v>
      </c>
      <c r="H10" s="40"/>
      <c r="I10" s="40"/>
      <c r="J10" s="12"/>
      <c r="K10" s="12"/>
    </row>
    <row r="11" spans="1:11">
      <c r="A11" s="40"/>
      <c r="B11" s="40"/>
      <c r="E11" t="s">
        <v>0</v>
      </c>
      <c r="H11" s="40"/>
      <c r="I11" s="40"/>
      <c r="J11" s="12"/>
      <c r="K11" s="12"/>
    </row>
    <row r="12" spans="1:11" ht="15.75" thickBot="1">
      <c r="A12" s="33"/>
      <c r="B12" s="33"/>
      <c r="C12" s="157"/>
      <c r="D12" s="157"/>
      <c r="E12" s="157"/>
      <c r="F12" s="157"/>
      <c r="G12" s="157"/>
      <c r="H12" s="33"/>
      <c r="I12" s="33"/>
      <c r="J12" s="28"/>
      <c r="K12" s="12"/>
    </row>
    <row r="13" spans="1:11" ht="11.25" customHeight="1" thickBot="1">
      <c r="A13" s="33" t="s">
        <v>24</v>
      </c>
      <c r="B13" s="33" t="s">
        <v>92</v>
      </c>
      <c r="C13" s="33" t="s">
        <v>93</v>
      </c>
      <c r="D13" s="41" t="s">
        <v>94</v>
      </c>
      <c r="E13" s="33" t="s">
        <v>95</v>
      </c>
      <c r="F13" s="33" t="s">
        <v>96</v>
      </c>
      <c r="G13" s="33" t="s">
        <v>97</v>
      </c>
      <c r="H13" s="33" t="s">
        <v>98</v>
      </c>
      <c r="I13" s="33" t="s">
        <v>99</v>
      </c>
      <c r="J13" s="33" t="s">
        <v>100</v>
      </c>
      <c r="K13" s="12"/>
    </row>
    <row r="14" spans="1:11">
      <c r="A14" s="34" t="s">
        <v>0</v>
      </c>
      <c r="B14" s="34" t="s">
        <v>3</v>
      </c>
      <c r="C14" s="34" t="s">
        <v>87</v>
      </c>
      <c r="D14" s="34" t="s">
        <v>120</v>
      </c>
      <c r="E14" s="34" t="s">
        <v>121</v>
      </c>
      <c r="F14" s="34" t="s">
        <v>120</v>
      </c>
      <c r="G14" s="34" t="s">
        <v>121</v>
      </c>
      <c r="H14" s="34" t="s">
        <v>19</v>
      </c>
      <c r="I14" s="34" t="s">
        <v>122</v>
      </c>
      <c r="J14" s="34" t="s">
        <v>134</v>
      </c>
      <c r="K14" s="12"/>
    </row>
    <row r="15" spans="1:11" ht="15.75" thickBot="1">
      <c r="A15" s="36" t="s">
        <v>2</v>
      </c>
      <c r="B15" s="36" t="s">
        <v>4</v>
      </c>
      <c r="C15" s="36" t="s">
        <v>119</v>
      </c>
      <c r="D15" s="36" t="s">
        <v>86</v>
      </c>
      <c r="E15" s="36" t="s">
        <v>86</v>
      </c>
      <c r="F15" s="36" t="s">
        <v>87</v>
      </c>
      <c r="G15" s="36" t="s">
        <v>87</v>
      </c>
      <c r="H15" s="36" t="s">
        <v>120</v>
      </c>
      <c r="I15" s="36" t="s">
        <v>123</v>
      </c>
      <c r="J15" s="36" t="s">
        <v>133</v>
      </c>
      <c r="K15" s="12"/>
    </row>
    <row r="16" spans="1:11">
      <c r="A16" s="42" t="s">
        <v>7</v>
      </c>
      <c r="B16" s="42" t="s">
        <v>7</v>
      </c>
      <c r="C16" s="42" t="s">
        <v>136</v>
      </c>
      <c r="D16" s="42" t="s">
        <v>136</v>
      </c>
      <c r="E16" s="42" t="s">
        <v>136</v>
      </c>
      <c r="F16" s="42" t="s">
        <v>136</v>
      </c>
      <c r="G16" s="42" t="s">
        <v>136</v>
      </c>
      <c r="H16" s="42" t="s">
        <v>125</v>
      </c>
      <c r="I16" s="42" t="s">
        <v>124</v>
      </c>
      <c r="J16" s="42" t="s">
        <v>102</v>
      </c>
      <c r="K16" s="12"/>
    </row>
    <row r="17" spans="1:12">
      <c r="A17" s="34"/>
      <c r="B17" s="34"/>
      <c r="C17" s="34"/>
      <c r="D17" s="34"/>
      <c r="E17" s="34"/>
      <c r="F17" s="34"/>
      <c r="G17" s="34"/>
      <c r="H17" s="34"/>
      <c r="I17" s="34"/>
      <c r="J17" s="34"/>
      <c r="K17" s="12"/>
    </row>
    <row r="18" spans="1:12">
      <c r="A18" s="12"/>
      <c r="B18" s="12"/>
      <c r="C18" s="12"/>
      <c r="D18" s="12"/>
      <c r="E18" s="12"/>
      <c r="F18" s="12"/>
      <c r="G18" s="12"/>
      <c r="H18" s="12"/>
      <c r="I18" s="12"/>
      <c r="J18" s="12"/>
      <c r="K18" s="12"/>
    </row>
    <row r="19" spans="1:12" ht="15.75">
      <c r="A19" s="62" t="str">
        <f>+'S&amp;D'!A22</f>
        <v>DCP Midstream LP</v>
      </c>
      <c r="B19" s="89" t="str">
        <f>+'S&amp;D'!B22</f>
        <v>DCP</v>
      </c>
      <c r="C19" s="451">
        <v>278000000</v>
      </c>
      <c r="D19" s="452">
        <v>6093541047</v>
      </c>
      <c r="E19" s="140">
        <v>5433000000</v>
      </c>
      <c r="F19" s="140">
        <f>+'S&amp;D'!G39</f>
        <v>4761230201.066885</v>
      </c>
      <c r="G19" s="140">
        <f>+'S&amp;D'!J22</f>
        <v>4863000000</v>
      </c>
      <c r="H19" s="194">
        <f>(D19+F19)/2</f>
        <v>5427385624.0334425</v>
      </c>
      <c r="I19" s="65">
        <f>C19/H19</f>
        <v>5.1221715068294732E-2</v>
      </c>
      <c r="J19" s="45">
        <f>F19/G19</f>
        <v>0.97907263028313485</v>
      </c>
      <c r="K19" s="12"/>
    </row>
    <row r="20" spans="1:12" ht="15.75">
      <c r="A20" s="62" t="str">
        <f>+'S&amp;D'!A23</f>
        <v>Enbridge Inc</v>
      </c>
      <c r="B20" s="89" t="str">
        <f>+'S&amp;D'!B23</f>
        <v>ENB.TO</v>
      </c>
      <c r="C20" s="451">
        <f>3179000000*0.7369</f>
        <v>2342605100</v>
      </c>
      <c r="D20" s="452">
        <v>64631241364.247307</v>
      </c>
      <c r="E20" s="140">
        <v>58641028750</v>
      </c>
      <c r="F20" s="140">
        <f>+'S&amp;D'!G40</f>
        <v>53946321003.783104</v>
      </c>
      <c r="G20" s="140">
        <f>+'S&amp;D'!J23</f>
        <v>58203309600</v>
      </c>
      <c r="H20" s="194">
        <f t="shared" ref="H20:H24" si="0">(D20+F20)/2</f>
        <v>59288781184.015205</v>
      </c>
      <c r="I20" s="65">
        <f t="shared" ref="I20:I24" si="1">C20/H20</f>
        <v>3.9511776987441051E-2</v>
      </c>
      <c r="J20" s="45">
        <f t="shared" ref="J20:J24" si="2">F20/G20</f>
        <v>0.92686002522068101</v>
      </c>
      <c r="L20" s="390" t="s">
        <v>441</v>
      </c>
    </row>
    <row r="21" spans="1:12" ht="15.75">
      <c r="A21" s="62" t="str">
        <f>+'S&amp;D'!A24</f>
        <v>Energy Transfer LP</v>
      </c>
      <c r="B21" s="89" t="str">
        <f>+'S&amp;D'!B24</f>
        <v>ET</v>
      </c>
      <c r="C21" s="451">
        <v>2306000000</v>
      </c>
      <c r="D21" s="452">
        <v>54972212072.434608</v>
      </c>
      <c r="E21" s="140">
        <v>49702000000</v>
      </c>
      <c r="F21" s="140">
        <f>+'S&amp;D'!G41</f>
        <v>45421882304.185661</v>
      </c>
      <c r="G21" s="140">
        <f>+'S&amp;D'!J24</f>
        <v>48262000000</v>
      </c>
      <c r="H21" s="194">
        <f t="shared" si="0"/>
        <v>50197047188.310135</v>
      </c>
      <c r="I21" s="65">
        <f t="shared" si="1"/>
        <v>4.5938957153181317E-2</v>
      </c>
      <c r="J21" s="45">
        <f t="shared" si="2"/>
        <v>0.9411520928305015</v>
      </c>
      <c r="K21" s="12"/>
      <c r="L21" t="s">
        <v>0</v>
      </c>
    </row>
    <row r="22" spans="1:12" ht="15.75">
      <c r="A22" s="62" t="str">
        <f>+'S&amp;D'!A25</f>
        <v>Enlink Midstream LLC</v>
      </c>
      <c r="B22" s="89" t="str">
        <f>+'S&amp;D'!B25</f>
        <v>ENLC</v>
      </c>
      <c r="C22" s="451">
        <v>245000000</v>
      </c>
      <c r="D22" s="452">
        <v>4520000000</v>
      </c>
      <c r="E22" s="140">
        <v>4363700000</v>
      </c>
      <c r="F22" s="140">
        <f>+'S&amp;D'!G42</f>
        <v>4385899999.999999</v>
      </c>
      <c r="G22" s="140">
        <f>+'S&amp;D'!J25</f>
        <v>4723500000</v>
      </c>
      <c r="H22" s="194">
        <f t="shared" si="0"/>
        <v>4452950000</v>
      </c>
      <c r="I22" s="65">
        <f t="shared" si="1"/>
        <v>5.5019706037570601E-2</v>
      </c>
      <c r="J22" s="45">
        <f t="shared" si="2"/>
        <v>0.92852757489149973</v>
      </c>
      <c r="K22" s="12"/>
    </row>
    <row r="23" spans="1:12" ht="15.75">
      <c r="A23" s="62" t="str">
        <f>+'S&amp;D'!A26</f>
        <v>Enterprise Products Partnership LP</v>
      </c>
      <c r="B23" s="89" t="str">
        <f>+'S&amp;D'!B26</f>
        <v>EPD</v>
      </c>
      <c r="C23" s="451">
        <v>1244000000</v>
      </c>
      <c r="D23" s="452">
        <v>32553244624.746452</v>
      </c>
      <c r="E23" s="140">
        <v>28761200000</v>
      </c>
      <c r="F23" s="140">
        <f>+'S&amp;D'!G43</f>
        <v>24899600000</v>
      </c>
      <c r="G23" s="140">
        <f>+'S&amp;D'!J26</f>
        <v>28295000000</v>
      </c>
      <c r="H23" s="194">
        <f t="shared" si="0"/>
        <v>28726422312.373226</v>
      </c>
      <c r="I23" s="65">
        <f t="shared" si="1"/>
        <v>4.3305079430799025E-2</v>
      </c>
      <c r="J23" s="45">
        <f t="shared" si="2"/>
        <v>0.88</v>
      </c>
      <c r="K23" s="12"/>
    </row>
    <row r="24" spans="1:12" ht="15.75">
      <c r="A24" s="62" t="str">
        <f>+'S&amp;D'!A27</f>
        <v>Kinder Morgan Inc</v>
      </c>
      <c r="B24" s="89" t="str">
        <f>+'S&amp;D'!B27</f>
        <v>KMI</v>
      </c>
      <c r="C24" s="451">
        <v>1244000000</v>
      </c>
      <c r="D24" s="452">
        <v>37775000000</v>
      </c>
      <c r="E24" s="140">
        <v>33320000000</v>
      </c>
      <c r="F24" s="140">
        <f>+'S&amp;D'!G44</f>
        <v>29944137637.415009</v>
      </c>
      <c r="G24" s="140">
        <f>+'S&amp;D'!J27</f>
        <v>31673000000</v>
      </c>
      <c r="H24" s="194">
        <f t="shared" si="0"/>
        <v>33859568818.707504</v>
      </c>
      <c r="I24" s="65">
        <f t="shared" si="1"/>
        <v>3.6739983508374936E-2</v>
      </c>
      <c r="J24" s="45">
        <f t="shared" si="2"/>
        <v>0.9454152633920061</v>
      </c>
      <c r="K24" s="12"/>
    </row>
    <row r="25" spans="1:12" ht="15.75">
      <c r="A25" s="62" t="str">
        <f>+'S&amp;D'!A28</f>
        <v>ONEOK Inc</v>
      </c>
      <c r="B25" s="89" t="str">
        <f>+'S&amp;D'!B28</f>
        <v>OKE</v>
      </c>
      <c r="C25" s="451">
        <v>675946000</v>
      </c>
      <c r="D25" s="452">
        <v>15649839705.882351</v>
      </c>
      <c r="E25" s="140">
        <v>13643450000</v>
      </c>
      <c r="F25" s="140">
        <f>+'S&amp;D'!G45</f>
        <v>12719455279.411764</v>
      </c>
      <c r="G25" s="140">
        <f>+'S&amp;D'!J28</f>
        <v>13620834000</v>
      </c>
      <c r="H25" s="194">
        <f t="shared" ref="H25:H27" si="3">(D25+F25)/2</f>
        <v>14184647492.647057</v>
      </c>
      <c r="I25" s="65">
        <f t="shared" ref="I25:I27" si="4">C25/H25</f>
        <v>4.7653352002606508E-2</v>
      </c>
      <c r="J25" s="45">
        <f t="shared" ref="J25:J27" si="5">F25/G25</f>
        <v>0.93382352941176472</v>
      </c>
      <c r="K25" s="12"/>
    </row>
    <row r="26" spans="1:12" ht="15.75">
      <c r="A26" s="62" t="str">
        <f>+'S&amp;D'!A29</f>
        <v>TC Energy Corp</v>
      </c>
      <c r="B26" s="89" t="str">
        <f>+'S&amp;D'!B29</f>
        <v>TRP</v>
      </c>
      <c r="C26" s="451">
        <f>2588000000*0.7369</f>
        <v>1907097200</v>
      </c>
      <c r="D26" s="452">
        <v>35244191672.210289</v>
      </c>
      <c r="E26" s="140">
        <v>30585103710</v>
      </c>
      <c r="F26" s="140">
        <f>+'S&amp;D'!G46</f>
        <v>34017224129.15694</v>
      </c>
      <c r="G26" s="140">
        <f>+'S&amp;D'!J29</f>
        <v>30613036700</v>
      </c>
      <c r="H26" s="194">
        <f t="shared" si="3"/>
        <v>34630707900.683617</v>
      </c>
      <c r="I26" s="65">
        <f t="shared" si="4"/>
        <v>5.5069541329311189E-2</v>
      </c>
      <c r="J26" s="45">
        <f t="shared" si="5"/>
        <v>1.1112005797568243</v>
      </c>
      <c r="L26" s="390" t="s">
        <v>441</v>
      </c>
    </row>
    <row r="27" spans="1:12" ht="15.75">
      <c r="A27" s="62" t="str">
        <f>+'S&amp;D'!A30</f>
        <v>Williams Companys Inc</v>
      </c>
      <c r="B27" s="89" t="str">
        <f>+'S&amp;D'!B30</f>
        <v>WMB</v>
      </c>
      <c r="C27" s="451">
        <v>1147000000</v>
      </c>
      <c r="D27" s="452">
        <v>27768000000</v>
      </c>
      <c r="E27" s="140">
        <v>23675000000</v>
      </c>
      <c r="F27" s="140">
        <f>+'S&amp;D'!G47</f>
        <v>26453198394.931362</v>
      </c>
      <c r="G27" s="140">
        <f>+'S&amp;D'!J30</f>
        <v>22554000000</v>
      </c>
      <c r="H27" s="194">
        <f t="shared" si="3"/>
        <v>27110599197.465683</v>
      </c>
      <c r="I27" s="65">
        <f t="shared" si="4"/>
        <v>4.2308175914725715E-2</v>
      </c>
      <c r="J27" s="45">
        <f t="shared" si="5"/>
        <v>1.1728827877507919</v>
      </c>
      <c r="K27" s="12"/>
      <c r="L27" t="s">
        <v>0</v>
      </c>
    </row>
    <row r="28" spans="1:12" ht="15.75" thickBot="1">
      <c r="A28" s="12"/>
      <c r="B28" s="12"/>
      <c r="C28" s="46"/>
      <c r="D28" s="46"/>
      <c r="E28" s="46"/>
      <c r="F28" s="46"/>
      <c r="G28" s="46" t="s">
        <v>45</v>
      </c>
      <c r="H28" s="46"/>
      <c r="I28" s="46" t="s">
        <v>45</v>
      </c>
      <c r="J28" s="46"/>
      <c r="K28" s="12"/>
    </row>
    <row r="29" spans="1:12" ht="15.75" thickTop="1">
      <c r="A29" s="12"/>
      <c r="B29" s="12"/>
      <c r="C29" s="47" t="s">
        <v>0</v>
      </c>
      <c r="D29" s="47" t="s">
        <v>0</v>
      </c>
      <c r="E29" s="34" t="s">
        <v>0</v>
      </c>
      <c r="F29" s="34"/>
      <c r="G29" s="47" t="s">
        <v>0</v>
      </c>
      <c r="H29" s="14" t="s">
        <v>46</v>
      </c>
      <c r="I29" s="323">
        <f>I22</f>
        <v>5.5019706037570601E-2</v>
      </c>
      <c r="J29" s="325">
        <f>J19</f>
        <v>0.97907263028313485</v>
      </c>
      <c r="K29" s="12"/>
    </row>
    <row r="30" spans="1:12">
      <c r="A30" s="195" t="s">
        <v>73</v>
      </c>
      <c r="B30" s="12"/>
      <c r="C30" s="47"/>
      <c r="D30" s="47" t="s">
        <v>0</v>
      </c>
      <c r="F30" s="34"/>
      <c r="G30" s="34" t="s">
        <v>0</v>
      </c>
      <c r="H30" s="355" t="s">
        <v>47</v>
      </c>
      <c r="I30" s="324">
        <v>4.1399999999999999E-2</v>
      </c>
      <c r="J30" s="358">
        <v>0.84399999999999997</v>
      </c>
      <c r="K30" s="12"/>
    </row>
    <row r="31" spans="1:12">
      <c r="A31" s="196" t="s">
        <v>278</v>
      </c>
      <c r="B31" s="12"/>
      <c r="C31" s="12"/>
      <c r="D31" s="12"/>
      <c r="E31" s="12"/>
      <c r="F31" s="12"/>
      <c r="G31" s="12"/>
      <c r="H31" s="14" t="s">
        <v>18</v>
      </c>
      <c r="I31" s="55">
        <f>MEDIAN(I19:I27)</f>
        <v>4.5938957153181317E-2</v>
      </c>
      <c r="J31" s="48">
        <f>MEDIAN(J19:J27)</f>
        <v>0.9411520928305015</v>
      </c>
      <c r="K31" s="12"/>
    </row>
    <row r="32" spans="1:12">
      <c r="A32" s="196" t="s">
        <v>242</v>
      </c>
      <c r="B32" s="12"/>
      <c r="C32" s="12"/>
      <c r="D32" s="12"/>
      <c r="E32" s="12"/>
      <c r="F32" s="12"/>
      <c r="G32" s="12"/>
      <c r="H32" s="14" t="s">
        <v>460</v>
      </c>
      <c r="I32" s="55">
        <f>AVERAGE(I19:I27)</f>
        <v>4.6307587492478347E-2</v>
      </c>
      <c r="J32" s="48">
        <f>AVERAGE(J19:J27)</f>
        <v>0.97988160928191148</v>
      </c>
      <c r="K32" s="12"/>
    </row>
    <row r="33" spans="1:11">
      <c r="A33" s="196"/>
      <c r="B33" s="12"/>
      <c r="C33" s="12"/>
      <c r="D33" s="12"/>
      <c r="E33" s="12"/>
      <c r="F33" s="12"/>
      <c r="G33" s="12"/>
      <c r="H33" s="14" t="s">
        <v>459</v>
      </c>
      <c r="I33" s="55">
        <f>HARMEAN(I19:I27)</f>
        <v>4.5485484885680348E-2</v>
      </c>
      <c r="J33" s="48">
        <f>HARMEAN(J19:J27)</f>
        <v>0.97220767265360253</v>
      </c>
      <c r="K33" s="12"/>
    </row>
    <row r="34" spans="1:11" ht="15.75" thickBot="1">
      <c r="A34" s="12"/>
      <c r="B34" s="12"/>
      <c r="C34" s="12"/>
      <c r="D34" s="12"/>
      <c r="E34" s="12"/>
      <c r="F34" s="12"/>
      <c r="G34" s="12"/>
      <c r="H34" s="12"/>
      <c r="I34" s="12"/>
      <c r="J34" s="13"/>
      <c r="K34" s="12"/>
    </row>
    <row r="35" spans="1:11" ht="21" thickBot="1">
      <c r="A35" s="12"/>
      <c r="B35" s="12"/>
      <c r="C35" s="12"/>
      <c r="D35" s="12"/>
      <c r="E35" s="12"/>
      <c r="F35" s="12"/>
      <c r="G35" s="200"/>
      <c r="H35" s="201" t="s">
        <v>249</v>
      </c>
      <c r="I35" s="443">
        <v>4.6300000000000001E-2</v>
      </c>
      <c r="J35" s="450">
        <v>0.97989999999999999</v>
      </c>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sheetData>
  <pageMargins left="0.25" right="0.25" top="0.75" bottom="0.75" header="0.3" footer="0.3"/>
  <pageSetup scale="56"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61"/>
  <sheetViews>
    <sheetView view="pageBreakPreview" zoomScale="60" zoomScaleNormal="80" workbookViewId="0">
      <selection activeCell="L39" sqref="L38:L39"/>
    </sheetView>
  </sheetViews>
  <sheetFormatPr defaultRowHeight="15"/>
  <cols>
    <col min="1" max="1" width="41.42578125" customWidth="1"/>
    <col min="2" max="2" width="13.42578125" customWidth="1"/>
    <col min="3" max="3" width="29.42578125" customWidth="1"/>
    <col min="4" max="4" width="20.7109375" customWidth="1"/>
    <col min="5" max="5" width="21.85546875" customWidth="1"/>
    <col min="6" max="6" width="16.140625" customWidth="1"/>
    <col min="7" max="7" width="12.140625" customWidth="1"/>
    <col min="8" max="8" width="18.5703125" customWidth="1"/>
    <col min="9" max="9" width="19.28515625" customWidth="1"/>
    <col min="10" max="11" width="20.5703125" customWidth="1"/>
    <col min="12" max="12" width="26.5703125" customWidth="1"/>
    <col min="13" max="13" width="10.85546875" customWidth="1"/>
  </cols>
  <sheetData>
    <row r="1" spans="1:13" ht="20.25">
      <c r="A1" s="23" t="s">
        <v>1</v>
      </c>
      <c r="B1" s="12"/>
      <c r="C1" s="12"/>
      <c r="D1" s="12"/>
      <c r="E1" s="12"/>
      <c r="F1" s="12"/>
      <c r="G1" s="12"/>
      <c r="H1" s="12"/>
      <c r="I1" s="12"/>
      <c r="J1" s="12"/>
      <c r="K1" s="12"/>
      <c r="L1" s="12"/>
      <c r="M1" s="12"/>
    </row>
    <row r="2" spans="1:13" ht="15.75">
      <c r="A2" s="24" t="s">
        <v>9</v>
      </c>
      <c r="B2" s="12"/>
      <c r="C2" s="12"/>
      <c r="D2" s="12"/>
      <c r="E2" s="12"/>
      <c r="F2" s="12"/>
      <c r="G2" s="12"/>
      <c r="H2" s="12"/>
      <c r="I2" s="12"/>
      <c r="J2" s="12"/>
      <c r="K2" s="12"/>
      <c r="L2" s="12"/>
      <c r="M2" s="12"/>
    </row>
    <row r="3" spans="1:13">
      <c r="A3" s="25" t="s">
        <v>63</v>
      </c>
      <c r="B3" s="12"/>
      <c r="C3" s="12"/>
      <c r="D3" s="12"/>
      <c r="E3" s="12"/>
      <c r="F3" s="12"/>
      <c r="G3" s="12"/>
      <c r="H3" s="12"/>
      <c r="I3" s="12"/>
      <c r="J3" s="12"/>
      <c r="K3" s="12"/>
      <c r="L3" s="12"/>
      <c r="M3" s="12"/>
    </row>
    <row r="4" spans="1:13">
      <c r="A4" s="25"/>
      <c r="B4" s="12"/>
      <c r="C4" s="12"/>
      <c r="D4" s="12"/>
      <c r="E4" s="12"/>
      <c r="F4" s="12"/>
      <c r="G4" s="12"/>
      <c r="H4" s="12"/>
      <c r="I4" s="12"/>
      <c r="J4" s="12"/>
      <c r="K4" s="12"/>
      <c r="L4" s="12"/>
      <c r="M4" s="12"/>
    </row>
    <row r="5" spans="1:13" ht="15.75" thickBot="1">
      <c r="A5" s="12"/>
      <c r="B5" s="12"/>
      <c r="C5" s="12"/>
      <c r="D5" s="12"/>
      <c r="E5" s="12"/>
      <c r="F5" s="12"/>
      <c r="G5" s="26"/>
      <c r="H5" s="26"/>
      <c r="I5" s="12"/>
      <c r="J5" s="12"/>
      <c r="K5" s="12"/>
      <c r="L5" s="12"/>
      <c r="M5" s="12"/>
    </row>
    <row r="6" spans="1:13" ht="18.75" thickBot="1">
      <c r="A6" s="278" t="str">
        <f>+'S&amp;D'!A12</f>
        <v>Natural Gas Transmission Pipeline Carrier</v>
      </c>
      <c r="B6" s="205"/>
      <c r="C6" s="12"/>
      <c r="D6" s="28"/>
      <c r="E6" s="28"/>
      <c r="F6" s="29" t="s">
        <v>0</v>
      </c>
      <c r="G6" s="12"/>
      <c r="H6" s="12"/>
      <c r="I6" s="12"/>
      <c r="J6" s="12"/>
      <c r="K6" s="12"/>
      <c r="L6" s="12"/>
      <c r="M6" s="12"/>
    </row>
    <row r="7" spans="1:13" ht="20.25">
      <c r="A7" s="30"/>
      <c r="B7" s="12"/>
      <c r="C7" s="12"/>
      <c r="D7" s="12"/>
      <c r="E7" s="31" t="s">
        <v>132</v>
      </c>
      <c r="F7" s="12"/>
      <c r="G7" s="12"/>
      <c r="H7" s="12"/>
      <c r="I7" s="12"/>
      <c r="J7" s="12"/>
      <c r="K7" s="12"/>
      <c r="L7" s="12"/>
      <c r="M7" s="12"/>
    </row>
    <row r="8" spans="1:13" ht="18.75" thickBot="1">
      <c r="A8" s="30"/>
      <c r="B8" s="12"/>
      <c r="C8" s="12"/>
      <c r="D8" s="28"/>
      <c r="E8" s="32" t="s">
        <v>77</v>
      </c>
      <c r="F8" s="28"/>
      <c r="G8" s="12"/>
      <c r="H8" s="12"/>
      <c r="I8" s="12"/>
      <c r="J8" s="12"/>
      <c r="K8" s="12"/>
      <c r="L8" s="12"/>
      <c r="M8" s="12"/>
    </row>
    <row r="9" spans="1:13" ht="15.75" thickBot="1">
      <c r="A9" s="33" t="s">
        <v>0</v>
      </c>
      <c r="B9" s="33" t="s">
        <v>0</v>
      </c>
      <c r="C9" s="33" t="s">
        <v>0</v>
      </c>
      <c r="D9" s="33" t="s">
        <v>0</v>
      </c>
      <c r="E9" s="33" t="s">
        <v>0</v>
      </c>
      <c r="F9" s="33" t="s">
        <v>0</v>
      </c>
      <c r="G9" s="33"/>
      <c r="H9" s="33"/>
      <c r="I9" s="33" t="s">
        <v>0</v>
      </c>
      <c r="J9" s="28"/>
      <c r="L9" s="12"/>
      <c r="M9" s="12"/>
    </row>
    <row r="10" spans="1:13">
      <c r="A10" s="34" t="s">
        <v>0</v>
      </c>
      <c r="B10" s="34" t="s">
        <v>3</v>
      </c>
      <c r="C10" s="34" t="s">
        <v>5</v>
      </c>
      <c r="D10" s="34" t="s">
        <v>21</v>
      </c>
      <c r="E10" s="34" t="s">
        <v>20</v>
      </c>
      <c r="F10" s="34" t="s">
        <v>51</v>
      </c>
      <c r="G10" s="34" t="s">
        <v>135</v>
      </c>
      <c r="H10" s="34" t="s">
        <v>48</v>
      </c>
      <c r="I10" s="34" t="s">
        <v>135</v>
      </c>
      <c r="J10" s="34" t="s">
        <v>48</v>
      </c>
      <c r="L10" s="12"/>
      <c r="M10" s="12"/>
    </row>
    <row r="11" spans="1:13" ht="15.75" thickBot="1">
      <c r="A11" s="36" t="s">
        <v>2</v>
      </c>
      <c r="B11" s="36" t="s">
        <v>4</v>
      </c>
      <c r="C11" s="36" t="s">
        <v>6</v>
      </c>
      <c r="D11" s="36" t="s">
        <v>23</v>
      </c>
      <c r="E11" s="36" t="s">
        <v>22</v>
      </c>
      <c r="F11" s="36" t="s">
        <v>49</v>
      </c>
      <c r="G11" s="36" t="s">
        <v>49</v>
      </c>
      <c r="H11" s="36" t="s">
        <v>49</v>
      </c>
      <c r="I11" s="36" t="s">
        <v>49</v>
      </c>
      <c r="J11" s="36" t="s">
        <v>50</v>
      </c>
      <c r="L11" s="12"/>
      <c r="M11" s="12"/>
    </row>
    <row r="12" spans="1:13">
      <c r="A12" s="38" t="s">
        <v>7</v>
      </c>
      <c r="B12" s="38" t="s">
        <v>7</v>
      </c>
      <c r="C12" s="38" t="s">
        <v>7</v>
      </c>
      <c r="D12" s="38" t="s">
        <v>7</v>
      </c>
      <c r="E12" s="38" t="s">
        <v>7</v>
      </c>
      <c r="F12" s="38" t="s">
        <v>0</v>
      </c>
      <c r="G12" s="38" t="s">
        <v>0</v>
      </c>
      <c r="H12" s="38" t="s">
        <v>0</v>
      </c>
      <c r="I12" s="38" t="s">
        <v>0</v>
      </c>
      <c r="J12" s="38" t="s">
        <v>0</v>
      </c>
      <c r="L12" s="12"/>
      <c r="M12" s="12"/>
    </row>
    <row r="13" spans="1:13">
      <c r="A13" s="34"/>
      <c r="B13" s="34"/>
      <c r="C13" s="34"/>
      <c r="D13" s="34"/>
      <c r="E13" s="34"/>
      <c r="F13" s="34"/>
      <c r="G13" s="34"/>
      <c r="H13" s="34"/>
      <c r="I13" s="34"/>
      <c r="J13" s="34"/>
      <c r="L13" s="12"/>
      <c r="M13" s="12"/>
    </row>
    <row r="14" spans="1:13">
      <c r="A14" s="12"/>
      <c r="B14" s="12"/>
      <c r="C14" s="12"/>
      <c r="D14" s="12"/>
      <c r="E14" s="12"/>
      <c r="F14" s="12"/>
      <c r="G14" s="12"/>
      <c r="H14" s="12"/>
      <c r="I14" s="12"/>
      <c r="J14" s="12"/>
      <c r="L14" s="12"/>
      <c r="M14" s="12"/>
    </row>
    <row r="15" spans="1:13" ht="15.75">
      <c r="A15" s="62" t="str">
        <f>+'S&amp;D'!A22</f>
        <v>DCP Midstream LP</v>
      </c>
      <c r="B15" s="89" t="str">
        <f>+'S&amp;D'!B22</f>
        <v>DCP</v>
      </c>
      <c r="C15" s="34" t="str">
        <f>+'S&amp;D'!C22</f>
        <v>Pipeline MLPs</v>
      </c>
      <c r="D15" s="65">
        <f>+'Beta for CAPM'!D18</f>
        <v>0.02</v>
      </c>
      <c r="E15" s="34" t="str">
        <f>+'Beta for CAPM'!G18</f>
        <v>B+</v>
      </c>
      <c r="F15" s="34" t="s">
        <v>339</v>
      </c>
      <c r="G15" s="304">
        <v>10</v>
      </c>
      <c r="H15" s="61" t="s">
        <v>57</v>
      </c>
      <c r="I15" s="304">
        <v>13</v>
      </c>
      <c r="J15" s="65">
        <v>7.4399999999999994E-2</v>
      </c>
      <c r="L15" s="12"/>
      <c r="M15" s="12"/>
    </row>
    <row r="16" spans="1:13" ht="15.75">
      <c r="A16" s="62" t="str">
        <f>+'S&amp;D'!A23</f>
        <v>Enbridge Inc</v>
      </c>
      <c r="B16" s="89" t="str">
        <f>+'S&amp;D'!B23</f>
        <v>ENB.TO</v>
      </c>
      <c r="C16" s="34" t="str">
        <f>+'S&amp;D'!C23</f>
        <v>Oil &amp; Gas Distribution</v>
      </c>
      <c r="D16" s="65">
        <f>+'Beta for CAPM'!D19</f>
        <v>0.15</v>
      </c>
      <c r="E16" s="34" t="str">
        <f>+'Beta for CAPM'!G19</f>
        <v>B++</v>
      </c>
      <c r="F16" s="34" t="s">
        <v>339</v>
      </c>
      <c r="G16" s="304">
        <v>10</v>
      </c>
      <c r="H16" s="61" t="s">
        <v>53</v>
      </c>
      <c r="I16" s="304">
        <v>10</v>
      </c>
      <c r="J16" s="65">
        <v>5.9700000000000003E-2</v>
      </c>
      <c r="L16" s="12"/>
      <c r="M16" s="12"/>
    </row>
    <row r="17" spans="1:13" ht="15.75">
      <c r="A17" s="62" t="str">
        <f>+'S&amp;D'!A24</f>
        <v>Energy Transfer LP</v>
      </c>
      <c r="B17" s="89" t="str">
        <f>+'S&amp;D'!B24</f>
        <v>ET</v>
      </c>
      <c r="C17" s="34" t="str">
        <f>+'S&amp;D'!C24</f>
        <v>Pipeline MLPs</v>
      </c>
      <c r="D17" s="397" t="str">
        <f>+'Beta for CAPM'!D20</f>
        <v>nmf</v>
      </c>
      <c r="E17" s="34" t="str">
        <f>+'Beta for CAPM'!G20</f>
        <v>B+</v>
      </c>
      <c r="F17" s="34" t="s">
        <v>341</v>
      </c>
      <c r="G17" s="304">
        <v>12</v>
      </c>
      <c r="H17" s="61" t="s">
        <v>59</v>
      </c>
      <c r="I17" s="304">
        <v>12</v>
      </c>
      <c r="J17" s="65">
        <v>5.9700000000000003E-2</v>
      </c>
      <c r="L17" s="12"/>
      <c r="M17" s="12"/>
    </row>
    <row r="18" spans="1:13" ht="15.75">
      <c r="A18" s="62" t="str">
        <f>+'S&amp;D'!A25</f>
        <v>Enlink Midstream LLC</v>
      </c>
      <c r="B18" s="89" t="str">
        <f>+'S&amp;D'!B25</f>
        <v>ENLC</v>
      </c>
      <c r="C18" s="34" t="str">
        <f>+'S&amp;D'!C25</f>
        <v>Oil &amp; Gas Distribution</v>
      </c>
      <c r="D18" s="397" t="str">
        <f>+'Beta for CAPM'!D21</f>
        <v>Nil</v>
      </c>
      <c r="E18" s="34" t="str">
        <f>+'Beta for CAPM'!G21</f>
        <v>C+</v>
      </c>
      <c r="F18" s="273" t="s">
        <v>342</v>
      </c>
      <c r="G18" s="304">
        <v>13</v>
      </c>
      <c r="H18" s="61" t="s">
        <v>57</v>
      </c>
      <c r="I18" s="304">
        <v>13</v>
      </c>
      <c r="J18" s="65">
        <v>7.4399999999999994E-2</v>
      </c>
      <c r="L18" s="12"/>
      <c r="M18" s="12"/>
    </row>
    <row r="19" spans="1:13" ht="15.75">
      <c r="A19" s="62" t="str">
        <f>+'S&amp;D'!A26</f>
        <v>Enterprise Products Partnership LP</v>
      </c>
      <c r="B19" s="89" t="str">
        <f>+'S&amp;D'!B26</f>
        <v>EPD</v>
      </c>
      <c r="C19" s="34" t="str">
        <f>+'S&amp;D'!C26</f>
        <v>Pipeline MLPs</v>
      </c>
      <c r="D19" s="65">
        <f>+'Beta for CAPM'!D22</f>
        <v>1.4999999999999999E-2</v>
      </c>
      <c r="E19" s="34" t="str">
        <f>+'Beta for CAPM'!G22</f>
        <v>B++</v>
      </c>
      <c r="F19" s="34" t="s">
        <v>339</v>
      </c>
      <c r="G19" s="304">
        <v>10</v>
      </c>
      <c r="H19" s="61" t="s">
        <v>57</v>
      </c>
      <c r="I19" s="304">
        <v>13</v>
      </c>
      <c r="J19" s="65">
        <v>7.4399999999999994E-2</v>
      </c>
      <c r="L19" s="12"/>
      <c r="M19" s="12"/>
    </row>
    <row r="20" spans="1:13" ht="15.75">
      <c r="A20" s="62" t="str">
        <f>+'S&amp;D'!A27</f>
        <v>Kinder Morgan Inc</v>
      </c>
      <c r="B20" s="89" t="str">
        <f>+'S&amp;D'!B27</f>
        <v>KMI</v>
      </c>
      <c r="C20" s="34" t="str">
        <f>+'S&amp;D'!C27</f>
        <v>Oil &amp; Gas Distribution</v>
      </c>
      <c r="D20" s="65">
        <f>+'Beta for CAPM'!D23</f>
        <v>0.21299999999999999</v>
      </c>
      <c r="E20" s="34" t="str">
        <f>+'Beta for CAPM'!G23</f>
        <v>B</v>
      </c>
      <c r="F20" s="34" t="s">
        <v>340</v>
      </c>
      <c r="G20" s="304">
        <v>11</v>
      </c>
      <c r="H20" s="61" t="s">
        <v>54</v>
      </c>
      <c r="I20" s="304">
        <v>11</v>
      </c>
      <c r="J20" s="65">
        <v>5.9700000000000003E-2</v>
      </c>
      <c r="L20" s="12"/>
      <c r="M20" s="12"/>
    </row>
    <row r="21" spans="1:13" ht="15.75">
      <c r="A21" s="62" t="str">
        <f>+'S&amp;D'!A28</f>
        <v>ONEOK Inc</v>
      </c>
      <c r="B21" s="89" t="str">
        <f>+'S&amp;D'!B28</f>
        <v>OKE</v>
      </c>
      <c r="C21" s="34" t="str">
        <f>+'S&amp;D'!C28</f>
        <v>Oil &amp; Gas Distribution</v>
      </c>
      <c r="D21" s="65">
        <f>+'Beta for CAPM'!D24</f>
        <v>0.21</v>
      </c>
      <c r="E21" s="34" t="str">
        <f>+'Beta for CAPM'!G24</f>
        <v>B+</v>
      </c>
      <c r="F21" s="34" t="s">
        <v>340</v>
      </c>
      <c r="G21" s="304">
        <v>11</v>
      </c>
      <c r="H21" s="61" t="s">
        <v>59</v>
      </c>
      <c r="I21" s="304">
        <v>12</v>
      </c>
      <c r="J21" s="65">
        <v>5.9700000000000003E-2</v>
      </c>
      <c r="L21" s="12"/>
      <c r="M21" s="12"/>
    </row>
    <row r="22" spans="1:13" ht="15.75">
      <c r="A22" s="62" t="str">
        <f>+'S&amp;D'!A29</f>
        <v>TC Energy Corp</v>
      </c>
      <c r="B22" s="89" t="str">
        <f>+'S&amp;D'!B29</f>
        <v>TRP</v>
      </c>
      <c r="C22" s="34" t="str">
        <f>+'S&amp;D'!C29</f>
        <v>Oil &amp; Gas Distribution</v>
      </c>
      <c r="D22" s="65">
        <f>+'Beta for CAPM'!D25</f>
        <v>0.22</v>
      </c>
      <c r="E22" s="34" t="str">
        <f>+'Beta for CAPM'!G25</f>
        <v>B++</v>
      </c>
      <c r="F22" s="34" t="s">
        <v>339</v>
      </c>
      <c r="G22" s="304">
        <v>10</v>
      </c>
      <c r="H22" s="61" t="s">
        <v>54</v>
      </c>
      <c r="I22" s="304">
        <v>11</v>
      </c>
      <c r="J22" s="65">
        <v>5.9700000000000003E-2</v>
      </c>
      <c r="L22" s="12"/>
      <c r="M22" s="12"/>
    </row>
    <row r="23" spans="1:13" ht="15.75">
      <c r="A23" s="62" t="str">
        <f>+'S&amp;D'!A30</f>
        <v>Williams Companys Inc</v>
      </c>
      <c r="B23" s="89" t="str">
        <f>+'S&amp;D'!B30</f>
        <v>WMB</v>
      </c>
      <c r="C23" s="34" t="str">
        <f>+'S&amp;D'!C30</f>
        <v>Oil &amp; Gas Distribution</v>
      </c>
      <c r="D23" s="65">
        <f>+'Beta for CAPM'!D26</f>
        <v>0.23</v>
      </c>
      <c r="E23" s="34" t="str">
        <f>+'Beta for CAPM'!G26</f>
        <v>B</v>
      </c>
      <c r="F23" s="34" t="s">
        <v>340</v>
      </c>
      <c r="G23" s="304">
        <v>11</v>
      </c>
      <c r="H23" s="61" t="s">
        <v>54</v>
      </c>
      <c r="I23" s="304">
        <v>11</v>
      </c>
      <c r="J23" s="65">
        <v>5.9700000000000003E-2</v>
      </c>
      <c r="L23" s="12"/>
      <c r="M23" s="12"/>
    </row>
    <row r="24" spans="1:13" ht="15.75" thickBot="1">
      <c r="A24" s="12"/>
      <c r="B24" s="12"/>
      <c r="C24" s="43"/>
      <c r="D24" s="46"/>
      <c r="E24" s="46"/>
      <c r="F24" s="46"/>
      <c r="G24" s="46"/>
      <c r="H24" s="46" t="s">
        <v>45</v>
      </c>
      <c r="I24" s="46"/>
      <c r="J24" s="46"/>
      <c r="L24" s="12"/>
      <c r="M24" s="12"/>
    </row>
    <row r="25" spans="1:13" ht="15.75" thickTop="1">
      <c r="A25" s="12"/>
      <c r="B25" s="12"/>
      <c r="E25" s="14" t="s">
        <v>46</v>
      </c>
      <c r="G25" s="305">
        <v>13</v>
      </c>
      <c r="H25" s="323" t="s">
        <v>0</v>
      </c>
      <c r="I25" s="348">
        <v>13</v>
      </c>
      <c r="J25" s="323">
        <v>7.4399999999999994E-2</v>
      </c>
      <c r="L25" s="12"/>
      <c r="M25" s="12"/>
    </row>
    <row r="26" spans="1:13">
      <c r="A26" s="12"/>
      <c r="B26" s="12"/>
      <c r="E26" s="355" t="s">
        <v>47</v>
      </c>
      <c r="F26" s="258"/>
      <c r="G26" s="306">
        <v>10</v>
      </c>
      <c r="H26" s="324" t="s">
        <v>0</v>
      </c>
      <c r="I26" s="349">
        <v>10</v>
      </c>
      <c r="J26" s="324">
        <v>5.9700000000000003E-2</v>
      </c>
      <c r="L26" s="12"/>
      <c r="M26" s="12"/>
    </row>
    <row r="27" spans="1:13">
      <c r="A27" s="12"/>
      <c r="B27" s="12"/>
      <c r="E27" s="14" t="s">
        <v>18</v>
      </c>
      <c r="G27" s="229">
        <f>MEDIAN(G15:G23)</f>
        <v>11</v>
      </c>
      <c r="H27" s="55" t="s">
        <v>0</v>
      </c>
      <c r="I27" s="230">
        <f>MEDIAN(I15:I23)</f>
        <v>12</v>
      </c>
      <c r="J27" s="55">
        <f>MEDIAN(J15:J23)</f>
        <v>5.9700000000000003E-2</v>
      </c>
      <c r="L27" s="12"/>
      <c r="M27" s="12"/>
    </row>
    <row r="28" spans="1:13">
      <c r="A28" s="12"/>
      <c r="B28" s="12"/>
      <c r="D28" s="14" t="s">
        <v>0</v>
      </c>
      <c r="E28" s="14" t="s">
        <v>460</v>
      </c>
      <c r="G28" s="230">
        <f>AVERAGE(G15:G23)</f>
        <v>10.888888888888889</v>
      </c>
      <c r="H28" s="55" t="s">
        <v>0</v>
      </c>
      <c r="I28" s="230">
        <f>AVERAGE(I15:I23)</f>
        <v>11.777777777777779</v>
      </c>
      <c r="J28" s="55">
        <f>AVERAGE(J15:J23)</f>
        <v>6.4599999999999991E-2</v>
      </c>
      <c r="L28" s="12"/>
      <c r="M28" s="12"/>
    </row>
    <row r="29" spans="1:13">
      <c r="A29" s="12"/>
      <c r="B29" s="12"/>
      <c r="D29" s="56" t="s">
        <v>0</v>
      </c>
      <c r="E29" s="14" t="s">
        <v>459</v>
      </c>
      <c r="G29" s="230">
        <f>TRIMMEAN(G15:G23,(2/COUNT(G15:G23)))</f>
        <v>10.714285714285714</v>
      </c>
      <c r="H29" s="55" t="s">
        <v>0</v>
      </c>
      <c r="I29" s="230">
        <f>TRIMMEAN(I15:I23,(2/COUNT(I15:I23)))</f>
        <v>11.857142857142858</v>
      </c>
      <c r="J29" s="55">
        <f>HARMEAN(J15:J23)</f>
        <v>6.3909064748201447E-2</v>
      </c>
      <c r="L29" s="12"/>
      <c r="M29" s="12"/>
    </row>
    <row r="30" spans="1:13" ht="15.75" thickBot="1">
      <c r="A30" s="12"/>
      <c r="B30" s="12"/>
      <c r="C30" s="12"/>
      <c r="D30" s="12"/>
      <c r="E30" s="14"/>
      <c r="F30" s="56"/>
      <c r="H30" s="12"/>
      <c r="I30" s="12"/>
      <c r="J30" s="12"/>
      <c r="K30" s="12"/>
      <c r="L30" s="12"/>
      <c r="M30" s="12"/>
    </row>
    <row r="31" spans="1:13" ht="21" thickBot="1">
      <c r="A31" s="12"/>
      <c r="B31" s="12"/>
      <c r="C31" s="12"/>
      <c r="D31" s="12"/>
      <c r="E31" s="12"/>
      <c r="F31" s="200"/>
      <c r="G31" s="340"/>
      <c r="H31" s="201" t="s">
        <v>249</v>
      </c>
      <c r="I31" s="442">
        <v>12</v>
      </c>
      <c r="J31" s="443">
        <v>6.4600000000000005E-2</v>
      </c>
      <c r="K31" s="12"/>
      <c r="L31" s="12"/>
      <c r="M31" s="12"/>
    </row>
    <row r="32" spans="1:13">
      <c r="A32" s="12"/>
      <c r="B32" s="12"/>
      <c r="C32" s="12"/>
      <c r="D32" s="12"/>
      <c r="E32" s="12"/>
      <c r="F32" s="12"/>
      <c r="G32" s="12"/>
      <c r="H32" s="12"/>
      <c r="I32" s="12"/>
      <c r="J32" s="12"/>
      <c r="K32" s="12"/>
      <c r="L32" s="12"/>
      <c r="M32" s="12"/>
    </row>
    <row r="33" spans="1:13">
      <c r="A33" s="12"/>
      <c r="B33" s="12"/>
      <c r="C33" s="12"/>
      <c r="D33" s="12"/>
      <c r="E33" s="12"/>
      <c r="F33" s="12"/>
      <c r="G33" s="12"/>
      <c r="H33" s="12"/>
      <c r="I33" s="12"/>
      <c r="J33" s="12"/>
      <c r="K33" s="12"/>
      <c r="L33" s="12"/>
      <c r="M33" s="12"/>
    </row>
    <row r="34" spans="1:13">
      <c r="A34" s="12"/>
      <c r="B34" s="12"/>
      <c r="C34" s="12"/>
      <c r="D34" s="12"/>
      <c r="E34" s="12"/>
      <c r="F34" s="12"/>
      <c r="G34" s="12"/>
      <c r="H34" s="12"/>
      <c r="I34" s="12"/>
      <c r="J34" s="12"/>
      <c r="K34" s="12"/>
      <c r="L34" s="12"/>
      <c r="M34" s="12"/>
    </row>
    <row r="35" spans="1:13" ht="18.75" thickBot="1">
      <c r="A35" s="292" t="s">
        <v>149</v>
      </c>
      <c r="B35" s="12"/>
      <c r="G35" s="12"/>
      <c r="H35" s="12"/>
      <c r="I35" s="12"/>
      <c r="J35" s="12"/>
      <c r="K35" s="12"/>
      <c r="L35" s="12"/>
      <c r="M35" s="12"/>
    </row>
    <row r="36" spans="1:13" ht="18.75" thickBot="1">
      <c r="A36" s="298" t="s">
        <v>424</v>
      </c>
      <c r="B36" s="298" t="s">
        <v>350</v>
      </c>
      <c r="C36" s="298" t="s">
        <v>461</v>
      </c>
      <c r="D36" s="427" t="s">
        <v>462</v>
      </c>
      <c r="E36" s="427" t="s">
        <v>463</v>
      </c>
      <c r="F36" s="12"/>
      <c r="G36" s="12"/>
      <c r="H36" s="12"/>
      <c r="I36" s="12"/>
      <c r="M36" s="12"/>
    </row>
    <row r="37" spans="1:13" ht="15.75">
      <c r="A37" s="299" t="s">
        <v>362</v>
      </c>
      <c r="B37" s="303">
        <v>1</v>
      </c>
      <c r="C37" s="300" t="s">
        <v>361</v>
      </c>
      <c r="D37" s="428" t="s">
        <v>0</v>
      </c>
      <c r="E37" s="428" t="s">
        <v>0</v>
      </c>
      <c r="F37" s="12"/>
      <c r="G37" s="12"/>
      <c r="H37" s="12"/>
      <c r="I37" s="12"/>
      <c r="M37" s="12"/>
    </row>
    <row r="38" spans="1:13" ht="15.75">
      <c r="A38" s="57" t="s">
        <v>363</v>
      </c>
      <c r="B38" s="293">
        <v>2</v>
      </c>
      <c r="C38" s="301" t="s">
        <v>335</v>
      </c>
      <c r="D38" s="380">
        <v>4.8099999999999997E-2</v>
      </c>
      <c r="E38" s="380">
        <v>4.8099999999999997E-2</v>
      </c>
      <c r="F38" s="12" t="s">
        <v>202</v>
      </c>
      <c r="H38" s="12"/>
      <c r="I38" s="12"/>
      <c r="M38" s="12"/>
    </row>
    <row r="39" spans="1:13" ht="16.5" thickBot="1">
      <c r="A39" s="58" t="s">
        <v>364</v>
      </c>
      <c r="B39" s="295">
        <v>3</v>
      </c>
      <c r="C39" s="302" t="s">
        <v>360</v>
      </c>
      <c r="D39" s="429" t="s">
        <v>0</v>
      </c>
      <c r="E39" s="429" t="s">
        <v>0</v>
      </c>
      <c r="F39" s="12"/>
      <c r="H39" s="12"/>
      <c r="I39" s="12"/>
      <c r="M39" s="12"/>
    </row>
    <row r="40" spans="1:13" ht="15.75">
      <c r="A40" s="57" t="s">
        <v>148</v>
      </c>
      <c r="B40" s="293">
        <v>4</v>
      </c>
      <c r="C40" s="294" t="s">
        <v>334</v>
      </c>
      <c r="D40" s="380" t="s">
        <v>0</v>
      </c>
      <c r="E40" s="380" t="s">
        <v>0</v>
      </c>
      <c r="F40" s="12"/>
      <c r="H40" s="12"/>
      <c r="I40" s="12"/>
      <c r="M40" s="12"/>
    </row>
    <row r="41" spans="1:13" ht="15.75">
      <c r="A41" s="57" t="s">
        <v>147</v>
      </c>
      <c r="B41" s="293">
        <v>5</v>
      </c>
      <c r="C41" s="294" t="s">
        <v>336</v>
      </c>
      <c r="D41" s="380">
        <v>5.1299999999999998E-2</v>
      </c>
      <c r="E41" s="380">
        <v>5.4300000000000001E-2</v>
      </c>
      <c r="F41" s="12" t="s">
        <v>337</v>
      </c>
      <c r="H41" s="12"/>
      <c r="I41" s="12"/>
      <c r="M41" s="12"/>
    </row>
    <row r="42" spans="1:13" ht="16.5" thickBot="1">
      <c r="A42" s="58" t="s">
        <v>146</v>
      </c>
      <c r="B42" s="295">
        <v>6</v>
      </c>
      <c r="C42" s="296" t="s">
        <v>338</v>
      </c>
      <c r="D42" s="430" t="s">
        <v>0</v>
      </c>
      <c r="E42" s="430" t="s">
        <v>0</v>
      </c>
      <c r="F42" s="12"/>
      <c r="H42" s="12"/>
      <c r="I42" s="12"/>
      <c r="M42" s="12"/>
    </row>
    <row r="43" spans="1:13" ht="15.75">
      <c r="A43" s="57" t="s">
        <v>56</v>
      </c>
      <c r="B43" s="293">
        <v>7</v>
      </c>
      <c r="C43" s="294" t="s">
        <v>44</v>
      </c>
      <c r="D43" s="431" t="s">
        <v>0</v>
      </c>
      <c r="E43" s="431" t="s">
        <v>0</v>
      </c>
      <c r="H43" s="12"/>
      <c r="I43" s="12"/>
      <c r="M43" s="12"/>
    </row>
    <row r="44" spans="1:13" ht="15.75">
      <c r="A44" s="57" t="s">
        <v>145</v>
      </c>
      <c r="B44" s="293">
        <v>8</v>
      </c>
      <c r="C44" s="294" t="s">
        <v>24</v>
      </c>
      <c r="D44" s="381">
        <v>5.4800000000000001E-2</v>
      </c>
      <c r="E44" s="381">
        <v>5.6399999999999999E-2</v>
      </c>
      <c r="F44" s="12" t="s">
        <v>203</v>
      </c>
      <c r="H44" s="12"/>
      <c r="I44" s="12"/>
      <c r="M44" s="12"/>
    </row>
    <row r="45" spans="1:13" ht="16.5" thickBot="1">
      <c r="A45" s="58" t="s">
        <v>58</v>
      </c>
      <c r="B45" s="295">
        <v>9</v>
      </c>
      <c r="C45" s="296" t="s">
        <v>60</v>
      </c>
      <c r="D45" s="430" t="s">
        <v>0</v>
      </c>
      <c r="E45" s="430" t="s">
        <v>0</v>
      </c>
      <c r="F45" s="12"/>
      <c r="H45" s="12"/>
      <c r="I45" s="12"/>
      <c r="M45" s="12"/>
    </row>
    <row r="46" spans="1:13" ht="15.75">
      <c r="A46" s="57" t="s">
        <v>53</v>
      </c>
      <c r="B46" s="293">
        <v>10</v>
      </c>
      <c r="C46" s="294" t="s">
        <v>339</v>
      </c>
      <c r="D46" s="381" t="s">
        <v>0</v>
      </c>
      <c r="E46" s="381" t="s">
        <v>0</v>
      </c>
      <c r="H46" s="12"/>
      <c r="I46" s="12"/>
      <c r="J46" s="12"/>
      <c r="K46" s="12"/>
      <c r="L46" s="12"/>
      <c r="M46" s="12"/>
    </row>
    <row r="47" spans="1:13" ht="15.75">
      <c r="A47" s="57" t="s">
        <v>54</v>
      </c>
      <c r="B47" s="293">
        <v>11</v>
      </c>
      <c r="C47" s="294" t="s">
        <v>340</v>
      </c>
      <c r="D47" s="381">
        <v>5.9700000000000003E-2</v>
      </c>
      <c r="E47" s="381">
        <v>5.9299999999999999E-2</v>
      </c>
      <c r="F47" s="12" t="s">
        <v>206</v>
      </c>
      <c r="H47" s="12"/>
      <c r="I47" s="12"/>
      <c r="J47" s="12"/>
      <c r="K47" s="12"/>
      <c r="L47" s="12"/>
      <c r="M47" s="12"/>
    </row>
    <row r="48" spans="1:13" ht="16.5" thickBot="1">
      <c r="A48" s="58" t="s">
        <v>59</v>
      </c>
      <c r="B48" s="295">
        <v>12</v>
      </c>
      <c r="C48" s="296" t="s">
        <v>341</v>
      </c>
      <c r="D48" s="381" t="s">
        <v>0</v>
      </c>
      <c r="E48" s="381" t="s">
        <v>0</v>
      </c>
      <c r="F48" s="12"/>
      <c r="H48" s="12"/>
      <c r="I48" s="12"/>
      <c r="J48" s="12"/>
      <c r="K48" s="12"/>
      <c r="L48" s="12"/>
      <c r="M48" s="12"/>
    </row>
    <row r="49" spans="1:13" ht="15.75">
      <c r="A49" s="57" t="s">
        <v>57</v>
      </c>
      <c r="B49" s="293">
        <v>13</v>
      </c>
      <c r="C49" s="294" t="s">
        <v>342</v>
      </c>
      <c r="D49" s="431" t="s">
        <v>0</v>
      </c>
      <c r="E49" s="431" t="s">
        <v>0</v>
      </c>
      <c r="H49" s="12"/>
      <c r="I49" s="12"/>
      <c r="J49" s="12"/>
      <c r="K49" s="12"/>
      <c r="L49" s="12"/>
      <c r="M49" s="12"/>
    </row>
    <row r="50" spans="1:13" ht="15.75">
      <c r="A50" s="57" t="s">
        <v>144</v>
      </c>
      <c r="B50" s="293">
        <v>14</v>
      </c>
      <c r="C50" s="294" t="s">
        <v>343</v>
      </c>
      <c r="D50" s="380">
        <v>7.4440000000000006E-2</v>
      </c>
      <c r="E50" s="380">
        <v>7.3899999999999993E-2</v>
      </c>
      <c r="F50" s="12" t="s">
        <v>205</v>
      </c>
      <c r="H50" s="12"/>
      <c r="I50" s="12"/>
      <c r="J50" s="12"/>
      <c r="K50" s="12"/>
      <c r="L50" s="12"/>
      <c r="M50" s="12"/>
    </row>
    <row r="51" spans="1:13" ht="16.5" thickBot="1">
      <c r="A51" s="58" t="s">
        <v>143</v>
      </c>
      <c r="B51" s="295">
        <v>15</v>
      </c>
      <c r="C51" s="296" t="s">
        <v>344</v>
      </c>
      <c r="D51" s="429" t="s">
        <v>0</v>
      </c>
      <c r="E51" s="429" t="s">
        <v>0</v>
      </c>
      <c r="F51" s="12"/>
      <c r="H51" s="12"/>
      <c r="I51" s="12"/>
      <c r="J51" s="12"/>
      <c r="K51" s="12"/>
      <c r="L51" s="12"/>
      <c r="M51" s="12"/>
    </row>
    <row r="52" spans="1:13" ht="15.75">
      <c r="A52" s="57" t="s">
        <v>142</v>
      </c>
      <c r="B52" s="293">
        <v>16</v>
      </c>
      <c r="C52" s="294" t="s">
        <v>25</v>
      </c>
      <c r="D52" s="431"/>
      <c r="E52" s="431"/>
      <c r="H52" s="12"/>
      <c r="I52" s="12"/>
      <c r="J52" s="12"/>
      <c r="K52" s="12"/>
      <c r="L52" s="12"/>
      <c r="M52" s="12"/>
    </row>
    <row r="53" spans="1:13" ht="15.75">
      <c r="A53" s="57" t="s">
        <v>141</v>
      </c>
      <c r="B53" s="293">
        <v>17</v>
      </c>
      <c r="C53" s="294" t="s">
        <v>92</v>
      </c>
      <c r="D53" s="381">
        <v>8.2299999999999998E-2</v>
      </c>
      <c r="E53" s="381">
        <v>8.1699999999999995E-2</v>
      </c>
      <c r="F53" s="12" t="s">
        <v>204</v>
      </c>
      <c r="H53" s="12"/>
      <c r="I53" s="12"/>
      <c r="J53" s="12"/>
      <c r="K53" s="12"/>
      <c r="L53" s="12"/>
      <c r="M53" s="12"/>
    </row>
    <row r="54" spans="1:13" ht="16.5" thickBot="1">
      <c r="A54" s="58" t="s">
        <v>140</v>
      </c>
      <c r="B54" s="295">
        <v>18</v>
      </c>
      <c r="C54" s="296" t="s">
        <v>345</v>
      </c>
      <c r="D54" s="429"/>
      <c r="E54" s="429"/>
      <c r="F54" s="12"/>
      <c r="H54" s="12"/>
      <c r="I54" s="12"/>
      <c r="J54" s="12"/>
      <c r="K54" s="12"/>
      <c r="L54" s="12"/>
      <c r="M54" s="12"/>
    </row>
    <row r="55" spans="1:13" ht="15.75">
      <c r="A55" s="57" t="s">
        <v>139</v>
      </c>
      <c r="B55" s="293">
        <v>19</v>
      </c>
      <c r="C55" s="294" t="s">
        <v>346</v>
      </c>
      <c r="D55" s="381"/>
      <c r="E55" s="381"/>
      <c r="H55" s="12"/>
      <c r="I55" s="12"/>
      <c r="J55" s="12"/>
      <c r="K55" s="12"/>
      <c r="L55" s="12"/>
      <c r="M55" s="12"/>
    </row>
    <row r="56" spans="1:13" ht="15.75">
      <c r="A56" s="57" t="s">
        <v>138</v>
      </c>
      <c r="B56" s="293">
        <v>20</v>
      </c>
      <c r="C56" s="294" t="s">
        <v>347</v>
      </c>
      <c r="D56" s="381">
        <v>9.0200000000000002E-2</v>
      </c>
      <c r="E56" s="381">
        <v>8.9499999999999996E-2</v>
      </c>
      <c r="F56" s="12" t="s">
        <v>201</v>
      </c>
      <c r="H56" s="12"/>
      <c r="I56" s="12"/>
      <c r="J56" s="12"/>
      <c r="K56" s="12"/>
      <c r="L56" s="12"/>
      <c r="M56" s="12"/>
    </row>
    <row r="57" spans="1:13" ht="16.5" thickBot="1">
      <c r="A57" s="58" t="s">
        <v>137</v>
      </c>
      <c r="B57" s="295">
        <v>21</v>
      </c>
      <c r="C57" s="445" t="s">
        <v>348</v>
      </c>
      <c r="D57" s="430"/>
      <c r="E57" s="430"/>
      <c r="F57" s="12"/>
      <c r="H57" s="12"/>
      <c r="I57" s="12"/>
      <c r="J57" s="12"/>
      <c r="K57" s="12"/>
      <c r="L57" s="12"/>
      <c r="M57" s="12"/>
    </row>
    <row r="58" spans="1:13" ht="15.75">
      <c r="A58" s="444" t="s">
        <v>355</v>
      </c>
      <c r="B58" s="447">
        <v>22</v>
      </c>
      <c r="C58" s="299" t="s">
        <v>358</v>
      </c>
      <c r="D58" s="432"/>
      <c r="E58" s="432"/>
      <c r="H58" s="12"/>
      <c r="I58" s="12"/>
      <c r="J58" s="12"/>
      <c r="K58" s="12"/>
      <c r="L58" s="12"/>
      <c r="M58" s="12"/>
    </row>
    <row r="59" spans="1:13" ht="15.75">
      <c r="A59" s="444" t="s">
        <v>356</v>
      </c>
      <c r="B59" s="448">
        <v>23</v>
      </c>
      <c r="C59" s="57" t="s">
        <v>349</v>
      </c>
      <c r="D59" s="433"/>
      <c r="E59" s="433"/>
      <c r="F59" s="12" t="s">
        <v>199</v>
      </c>
      <c r="H59" s="12"/>
      <c r="I59" s="12"/>
      <c r="J59" s="12"/>
      <c r="K59" s="12"/>
      <c r="L59" s="12"/>
      <c r="M59" s="12"/>
    </row>
    <row r="60" spans="1:13" ht="16.5" thickBot="1">
      <c r="A60" s="446" t="s">
        <v>357</v>
      </c>
      <c r="B60" s="449">
        <v>24</v>
      </c>
      <c r="C60" s="58" t="s">
        <v>359</v>
      </c>
      <c r="D60" s="434"/>
      <c r="E60" s="434"/>
      <c r="F60" s="12"/>
      <c r="H60" s="12"/>
      <c r="I60" s="12"/>
      <c r="J60" s="12"/>
      <c r="K60" s="12"/>
      <c r="L60" s="12"/>
      <c r="M60" s="12"/>
    </row>
    <row r="61" spans="1:13" ht="16.5" thickBot="1">
      <c r="A61" s="58" t="s">
        <v>279</v>
      </c>
      <c r="B61" s="295">
        <v>25</v>
      </c>
      <c r="C61" s="58" t="s">
        <v>93</v>
      </c>
      <c r="D61" s="435"/>
      <c r="E61" s="435"/>
      <c r="F61" s="12" t="s">
        <v>200</v>
      </c>
      <c r="H61" s="12"/>
      <c r="I61" s="12"/>
      <c r="J61" s="12"/>
      <c r="K61" s="12"/>
      <c r="L61" s="12"/>
    </row>
  </sheetData>
  <pageMargins left="0.25" right="0.25" top="0.75" bottom="0.75" header="0.3" footer="0.3"/>
  <pageSetup scale="4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40"/>
  <sheetViews>
    <sheetView view="pageBreakPreview" zoomScale="60" zoomScaleNormal="80" workbookViewId="0">
      <selection activeCell="A33" sqref="A33"/>
    </sheetView>
  </sheetViews>
  <sheetFormatPr defaultRowHeight="15"/>
  <cols>
    <col min="1" max="1" width="48.85546875" customWidth="1"/>
    <col min="2" max="2" width="13.140625" customWidth="1"/>
    <col min="3" max="3" width="19.85546875" customWidth="1"/>
    <col min="4" max="4" width="24.7109375" customWidth="1"/>
    <col min="5" max="5" width="22.7109375" customWidth="1"/>
    <col min="6" max="7" width="21.28515625" customWidth="1"/>
    <col min="8" max="8" width="12.42578125" customWidth="1"/>
    <col min="9" max="9" width="18.42578125" customWidth="1"/>
    <col min="10" max="10" width="21.28515625" customWidth="1"/>
    <col min="11" max="11" width="2.28515625" customWidth="1"/>
    <col min="12" max="12" width="22.7109375" customWidth="1"/>
    <col min="13" max="13" width="17.28515625" customWidth="1"/>
  </cols>
  <sheetData>
    <row r="1" spans="1:14" ht="20.25">
      <c r="A1" s="23" t="s">
        <v>1</v>
      </c>
      <c r="B1" s="12"/>
      <c r="C1" s="12"/>
      <c r="D1" s="12"/>
      <c r="E1" s="12"/>
      <c r="F1" s="12"/>
      <c r="G1" s="12"/>
      <c r="H1" s="12"/>
      <c r="I1" s="12"/>
      <c r="J1" s="12"/>
      <c r="K1" s="12"/>
      <c r="L1" s="12"/>
      <c r="M1" s="12"/>
      <c r="N1" s="12"/>
    </row>
    <row r="2" spans="1:14" ht="15.75">
      <c r="A2" s="62" t="s">
        <v>9</v>
      </c>
      <c r="B2" s="12"/>
      <c r="C2" s="12"/>
      <c r="D2" s="12"/>
      <c r="E2" s="12"/>
      <c r="F2" s="12"/>
      <c r="G2" s="12"/>
      <c r="H2" s="12"/>
      <c r="I2" s="12"/>
      <c r="J2" s="12"/>
      <c r="K2" s="12"/>
      <c r="L2" s="12"/>
      <c r="M2" s="12"/>
      <c r="N2" s="12"/>
    </row>
    <row r="3" spans="1:14">
      <c r="A3" s="25" t="s">
        <v>63</v>
      </c>
      <c r="B3" s="12"/>
      <c r="C3" s="12"/>
      <c r="D3" s="12"/>
      <c r="E3" s="12"/>
      <c r="F3" s="12"/>
      <c r="G3" s="12"/>
      <c r="H3" s="12"/>
      <c r="I3" s="12"/>
      <c r="J3" s="12"/>
      <c r="K3" s="12"/>
      <c r="L3" s="12"/>
      <c r="M3" s="12"/>
      <c r="N3" s="12"/>
    </row>
    <row r="4" spans="1:14">
      <c r="A4" s="12"/>
      <c r="B4" s="12"/>
      <c r="C4" s="12"/>
      <c r="D4" s="26" t="s">
        <v>0</v>
      </c>
      <c r="E4" s="12"/>
      <c r="F4" s="12"/>
      <c r="G4" s="12"/>
      <c r="H4" s="12"/>
      <c r="I4" s="12"/>
      <c r="J4" s="12"/>
      <c r="K4" s="12"/>
      <c r="L4" s="12"/>
      <c r="M4" s="12"/>
      <c r="N4" s="12"/>
    </row>
    <row r="5" spans="1:14" ht="16.5" thickBot="1">
      <c r="A5" s="62"/>
      <c r="B5" s="12"/>
      <c r="C5" s="12"/>
      <c r="D5" s="12"/>
      <c r="E5" s="12"/>
      <c r="F5" s="12"/>
      <c r="G5" s="12"/>
      <c r="H5" s="12"/>
      <c r="I5" s="12"/>
      <c r="J5" s="12"/>
      <c r="K5" s="12"/>
      <c r="L5" s="12"/>
      <c r="M5" s="12"/>
      <c r="N5" s="12"/>
    </row>
    <row r="6" spans="1:14" ht="16.5" thickBot="1">
      <c r="A6" s="280" t="str">
        <f>+'S&amp;D'!A12</f>
        <v>Natural Gas Transmission Pipeline Carrier</v>
      </c>
      <c r="B6" s="205"/>
      <c r="C6" s="12"/>
      <c r="D6" s="12"/>
      <c r="E6" s="12"/>
      <c r="F6" s="12"/>
      <c r="G6" s="12"/>
      <c r="H6" s="12"/>
      <c r="I6" s="12"/>
      <c r="J6" s="12"/>
      <c r="K6" s="12"/>
      <c r="L6" s="12"/>
      <c r="M6" s="12"/>
      <c r="N6" s="12"/>
    </row>
    <row r="7" spans="1:14" ht="15.75">
      <c r="A7" s="62"/>
      <c r="B7" s="12"/>
      <c r="C7" s="12"/>
      <c r="D7" s="12"/>
      <c r="E7" s="12"/>
      <c r="F7" s="12"/>
      <c r="G7" s="12"/>
      <c r="H7" s="12"/>
      <c r="I7" s="12"/>
      <c r="J7" s="12"/>
      <c r="K7" s="12"/>
      <c r="L7" s="12"/>
      <c r="M7" s="12"/>
      <c r="N7" s="12"/>
    </row>
    <row r="8" spans="1:14" ht="16.5" thickBot="1">
      <c r="A8" s="62"/>
      <c r="B8" s="12"/>
      <c r="C8" s="28"/>
      <c r="D8" s="28"/>
      <c r="E8" s="28"/>
      <c r="F8" s="12"/>
      <c r="G8" s="12"/>
      <c r="H8" s="28"/>
      <c r="I8" s="28"/>
      <c r="J8" s="28"/>
      <c r="K8" s="28"/>
      <c r="L8" s="28"/>
      <c r="M8" s="28"/>
      <c r="N8" s="12"/>
    </row>
    <row r="9" spans="1:14" ht="20.25">
      <c r="B9" s="12"/>
      <c r="C9" s="12"/>
      <c r="D9" s="31" t="s">
        <v>321</v>
      </c>
      <c r="E9" s="12"/>
      <c r="F9" s="12"/>
      <c r="G9" s="12"/>
      <c r="H9" s="12"/>
      <c r="I9" s="12"/>
      <c r="J9" s="12"/>
      <c r="K9" s="68" t="s">
        <v>322</v>
      </c>
      <c r="L9" s="12"/>
      <c r="M9" s="12"/>
      <c r="N9" s="12"/>
    </row>
    <row r="10" spans="1:14" ht="18.75" thickBot="1">
      <c r="A10" s="30"/>
      <c r="B10" s="12"/>
      <c r="C10" s="28"/>
      <c r="D10" s="32" t="s">
        <v>77</v>
      </c>
      <c r="E10" s="28"/>
      <c r="F10" s="12"/>
      <c r="G10" s="12"/>
      <c r="H10" s="28"/>
      <c r="I10" s="28"/>
      <c r="J10" s="28"/>
      <c r="K10" s="32" t="s">
        <v>77</v>
      </c>
      <c r="L10" s="28"/>
      <c r="M10" s="28"/>
      <c r="N10" s="12"/>
    </row>
    <row r="11" spans="1:14" ht="15.75" thickBot="1">
      <c r="A11" s="33" t="s">
        <v>0</v>
      </c>
      <c r="B11" s="33" t="s">
        <v>0</v>
      </c>
      <c r="C11" s="33" t="s">
        <v>0</v>
      </c>
      <c r="D11" s="33" t="s">
        <v>0</v>
      </c>
      <c r="E11" s="33" t="s">
        <v>0</v>
      </c>
      <c r="F11" s="33" t="s">
        <v>0</v>
      </c>
      <c r="G11" s="40"/>
      <c r="H11" s="28"/>
      <c r="I11" s="33" t="s">
        <v>0</v>
      </c>
      <c r="J11" s="28"/>
      <c r="K11" s="28"/>
      <c r="L11" s="28"/>
      <c r="M11" s="28"/>
      <c r="N11" s="12"/>
    </row>
    <row r="12" spans="1:14">
      <c r="A12" s="34" t="s">
        <v>0</v>
      </c>
      <c r="B12" s="34" t="s">
        <v>3</v>
      </c>
      <c r="C12" s="34" t="s">
        <v>365</v>
      </c>
      <c r="D12" s="34" t="s">
        <v>113</v>
      </c>
      <c r="E12" s="34" t="s">
        <v>113</v>
      </c>
      <c r="F12" s="34" t="s">
        <v>27</v>
      </c>
      <c r="G12" s="34"/>
      <c r="H12" s="34" t="s">
        <v>3</v>
      </c>
      <c r="I12" s="34" t="s">
        <v>365</v>
      </c>
      <c r="J12" s="34" t="s">
        <v>113</v>
      </c>
      <c r="K12" s="34"/>
      <c r="L12" s="34" t="s">
        <v>113</v>
      </c>
      <c r="M12" s="34" t="s">
        <v>27</v>
      </c>
      <c r="N12" s="12"/>
    </row>
    <row r="13" spans="1:14" ht="15.75" thickBot="1">
      <c r="A13" s="36" t="s">
        <v>2</v>
      </c>
      <c r="B13" s="36" t="s">
        <v>4</v>
      </c>
      <c r="C13" s="36" t="s">
        <v>28</v>
      </c>
      <c r="D13" s="36" t="s">
        <v>172</v>
      </c>
      <c r="E13" s="36" t="s">
        <v>29</v>
      </c>
      <c r="F13" s="36" t="s">
        <v>30</v>
      </c>
      <c r="G13" s="34"/>
      <c r="H13" s="36" t="s">
        <v>4</v>
      </c>
      <c r="I13" s="36" t="s">
        <v>28</v>
      </c>
      <c r="J13" s="36" t="s">
        <v>172</v>
      </c>
      <c r="K13" s="36"/>
      <c r="L13" s="36" t="s">
        <v>29</v>
      </c>
      <c r="M13" s="36" t="s">
        <v>30</v>
      </c>
      <c r="N13" s="12"/>
    </row>
    <row r="14" spans="1:14">
      <c r="A14" s="38" t="s">
        <v>0</v>
      </c>
      <c r="B14" s="38" t="s">
        <v>0</v>
      </c>
      <c r="C14" s="39" t="s">
        <v>116</v>
      </c>
      <c r="D14" s="38" t="s">
        <v>117</v>
      </c>
      <c r="E14" s="38" t="s">
        <v>0</v>
      </c>
      <c r="F14" s="38" t="s">
        <v>0</v>
      </c>
      <c r="G14" s="40"/>
      <c r="H14" s="38" t="s">
        <v>0</v>
      </c>
      <c r="I14" s="39" t="s">
        <v>116</v>
      </c>
      <c r="J14" s="38" t="s">
        <v>118</v>
      </c>
      <c r="K14" s="38"/>
      <c r="L14" s="38" t="s">
        <v>0</v>
      </c>
      <c r="M14" s="38" t="s">
        <v>0</v>
      </c>
      <c r="N14" s="12"/>
    </row>
    <row r="15" spans="1:14">
      <c r="A15" s="34"/>
      <c r="B15" s="34"/>
      <c r="C15" s="34"/>
      <c r="D15" s="34"/>
      <c r="E15" s="34"/>
      <c r="F15" s="34"/>
      <c r="G15" s="34"/>
      <c r="H15" s="34"/>
      <c r="I15" s="34"/>
      <c r="J15" s="34"/>
      <c r="K15" s="34"/>
      <c r="L15" s="34"/>
      <c r="M15" s="34"/>
      <c r="N15" s="12"/>
    </row>
    <row r="16" spans="1:14">
      <c r="A16" s="12"/>
      <c r="B16" s="12"/>
      <c r="C16" s="12"/>
      <c r="D16" s="12"/>
      <c r="E16" s="12"/>
      <c r="F16" s="12"/>
      <c r="G16" s="12"/>
      <c r="H16" s="12"/>
      <c r="I16" s="12"/>
      <c r="J16" s="12"/>
      <c r="K16" s="12"/>
      <c r="L16" s="12"/>
      <c r="M16" s="12"/>
      <c r="N16" s="12"/>
    </row>
    <row r="17" spans="1:14" ht="15.75">
      <c r="A17" s="62" t="str">
        <f>+'S&amp;D'!A22</f>
        <v>DCP Midstream LP</v>
      </c>
      <c r="B17" s="89" t="str">
        <f>+'S&amp;D'!B22</f>
        <v>DCP</v>
      </c>
      <c r="C17" s="59">
        <f>+'S&amp;D'!G22</f>
        <v>38.79</v>
      </c>
      <c r="D17" s="403">
        <v>6.2</v>
      </c>
      <c r="E17" s="71">
        <f>C17/D17</f>
        <v>6.2564516129032253</v>
      </c>
      <c r="F17" s="56">
        <f t="shared" ref="F17:F25" si="0">1/E17</f>
        <v>0.15983500902294406</v>
      </c>
      <c r="G17" s="56"/>
      <c r="H17" s="89" t="str">
        <f>+B17</f>
        <v>DCP</v>
      </c>
      <c r="I17" s="59">
        <f>+C17</f>
        <v>38.79</v>
      </c>
      <c r="J17" s="426">
        <v>6.45</v>
      </c>
      <c r="K17" s="61"/>
      <c r="L17" s="71">
        <f>I17/J17</f>
        <v>6.0139534883720929</v>
      </c>
      <c r="M17" s="56">
        <f t="shared" ref="M17:M25" si="1">1/L17</f>
        <v>0.16627996906419182</v>
      </c>
      <c r="N17" s="12"/>
    </row>
    <row r="18" spans="1:14" ht="15.75">
      <c r="A18" s="62" t="str">
        <f>+'S&amp;D'!A23</f>
        <v>Enbridge Inc</v>
      </c>
      <c r="B18" s="89" t="str">
        <f>+'S&amp;D'!B23</f>
        <v>ENB.TO</v>
      </c>
      <c r="C18" s="59">
        <f>+'S&amp;D'!G23</f>
        <v>52.92</v>
      </c>
      <c r="D18" s="403">
        <v>4.95</v>
      </c>
      <c r="E18" s="71">
        <f t="shared" ref="E18:E22" si="2">C18/D18</f>
        <v>10.690909090909091</v>
      </c>
      <c r="F18" s="56">
        <f t="shared" ref="F18:F22" si="3">1/E18</f>
        <v>9.3537414965986387E-2</v>
      </c>
      <c r="G18" s="56"/>
      <c r="H18" s="89" t="str">
        <f t="shared" ref="H18:H22" si="4">+B18</f>
        <v>ENB.TO</v>
      </c>
      <c r="I18" s="59">
        <f t="shared" ref="I18:I22" si="5">+C18</f>
        <v>52.92</v>
      </c>
      <c r="J18" s="426">
        <v>5.4</v>
      </c>
      <c r="K18" s="61"/>
      <c r="L18" s="71">
        <f t="shared" ref="L18:L22" si="6">I18/J18</f>
        <v>9.7999999999999989</v>
      </c>
      <c r="M18" s="56">
        <f t="shared" ref="M18:M22" si="7">1/L18</f>
        <v>0.10204081632653063</v>
      </c>
      <c r="N18" s="12"/>
    </row>
    <row r="19" spans="1:14" ht="15.75">
      <c r="A19" s="62" t="str">
        <f>+'S&amp;D'!A24</f>
        <v>Energy Transfer LP</v>
      </c>
      <c r="B19" s="89" t="str">
        <f>+'S&amp;D'!B24</f>
        <v>ET</v>
      </c>
      <c r="C19" s="59">
        <f>+'S&amp;D'!G24</f>
        <v>11.87</v>
      </c>
      <c r="D19" s="403">
        <v>2.8</v>
      </c>
      <c r="E19" s="71">
        <f t="shared" si="2"/>
        <v>4.2392857142857139</v>
      </c>
      <c r="F19" s="56">
        <f t="shared" si="3"/>
        <v>0.23588879528222412</v>
      </c>
      <c r="G19" s="56"/>
      <c r="H19" s="89" t="str">
        <f t="shared" si="4"/>
        <v>ET</v>
      </c>
      <c r="I19" s="59">
        <f t="shared" si="5"/>
        <v>11.87</v>
      </c>
      <c r="J19" s="426">
        <v>3.05</v>
      </c>
      <c r="K19" s="61"/>
      <c r="L19" s="71">
        <f t="shared" si="6"/>
        <v>3.8918032786885246</v>
      </c>
      <c r="M19" s="56">
        <f t="shared" si="7"/>
        <v>0.25695029486099408</v>
      </c>
      <c r="N19" s="12"/>
    </row>
    <row r="20" spans="1:14" ht="15.75">
      <c r="A20" s="62" t="str">
        <f>+'S&amp;D'!A25</f>
        <v>Enlink Midstream LLC</v>
      </c>
      <c r="B20" s="89" t="str">
        <f>+'S&amp;D'!B25</f>
        <v>ENLC</v>
      </c>
      <c r="C20" s="59">
        <f>+'S&amp;D'!G25</f>
        <v>12.3</v>
      </c>
      <c r="D20" s="403">
        <v>2</v>
      </c>
      <c r="E20" s="71">
        <f t="shared" si="2"/>
        <v>6.15</v>
      </c>
      <c r="F20" s="56">
        <f t="shared" si="3"/>
        <v>0.16260162601626016</v>
      </c>
      <c r="G20" s="56"/>
      <c r="H20" s="89" t="str">
        <f t="shared" si="4"/>
        <v>ENLC</v>
      </c>
      <c r="I20" s="59">
        <f t="shared" si="5"/>
        <v>12.3</v>
      </c>
      <c r="J20" s="426">
        <v>2.15</v>
      </c>
      <c r="K20" s="61"/>
      <c r="L20" s="71">
        <f t="shared" si="6"/>
        <v>5.7209302325581399</v>
      </c>
      <c r="M20" s="56">
        <f t="shared" si="7"/>
        <v>0.17479674796747965</v>
      </c>
      <c r="N20" s="12"/>
    </row>
    <row r="21" spans="1:14" ht="15.75">
      <c r="A21" s="62" t="str">
        <f>+'S&amp;D'!A26</f>
        <v>Enterprise Products Partnership LP</v>
      </c>
      <c r="B21" s="89" t="str">
        <f>+'S&amp;D'!B26</f>
        <v>EPD</v>
      </c>
      <c r="C21" s="59">
        <f>+'S&amp;D'!G26</f>
        <v>24.12</v>
      </c>
      <c r="D21" s="403">
        <v>3.6</v>
      </c>
      <c r="E21" s="71">
        <f t="shared" si="2"/>
        <v>6.7</v>
      </c>
      <c r="F21" s="56">
        <f t="shared" si="3"/>
        <v>0.14925373134328357</v>
      </c>
      <c r="G21" s="56"/>
      <c r="H21" s="89" t="str">
        <f t="shared" si="4"/>
        <v>EPD</v>
      </c>
      <c r="I21" s="59">
        <f t="shared" si="5"/>
        <v>24.12</v>
      </c>
      <c r="J21" s="426">
        <v>3.65</v>
      </c>
      <c r="K21" s="61"/>
      <c r="L21" s="71">
        <f t="shared" si="6"/>
        <v>6.6082191780821926</v>
      </c>
      <c r="M21" s="56">
        <f t="shared" si="7"/>
        <v>0.1513266998341625</v>
      </c>
      <c r="N21" s="12"/>
    </row>
    <row r="22" spans="1:14" ht="15.75">
      <c r="A22" s="62" t="str">
        <f>+'S&amp;D'!A27</f>
        <v>Kinder Morgan Inc</v>
      </c>
      <c r="B22" s="89" t="str">
        <f>+'S&amp;D'!B27</f>
        <v>KMI</v>
      </c>
      <c r="C22" s="59">
        <f>+'S&amp;D'!G27</f>
        <v>18.079999999999998</v>
      </c>
      <c r="D22" s="403">
        <v>2.11</v>
      </c>
      <c r="E22" s="71">
        <f t="shared" si="2"/>
        <v>8.5687203791469191</v>
      </c>
      <c r="F22" s="56">
        <f t="shared" si="3"/>
        <v>0.11670353982300885</v>
      </c>
      <c r="G22" s="56"/>
      <c r="H22" s="89" t="str">
        <f t="shared" si="4"/>
        <v>KMI</v>
      </c>
      <c r="I22" s="59">
        <f t="shared" si="5"/>
        <v>18.079999999999998</v>
      </c>
      <c r="J22" s="426">
        <v>2.35</v>
      </c>
      <c r="K22" s="61"/>
      <c r="L22" s="71">
        <f t="shared" si="6"/>
        <v>7.6936170212765944</v>
      </c>
      <c r="M22" s="56">
        <f t="shared" si="7"/>
        <v>0.12997787610619471</v>
      </c>
      <c r="N22" s="12"/>
    </row>
    <row r="23" spans="1:14" ht="15.75">
      <c r="A23" s="62" t="str">
        <f>+'S&amp;D'!A28</f>
        <v>ONEOK Inc</v>
      </c>
      <c r="B23" s="89" t="str">
        <f>+'S&amp;D'!B28</f>
        <v>OKE</v>
      </c>
      <c r="C23" s="59">
        <f>+'S&amp;D'!G28</f>
        <v>65.7</v>
      </c>
      <c r="D23" s="403">
        <v>5.3</v>
      </c>
      <c r="E23" s="71">
        <f t="shared" ref="E23:E25" si="8">C23/D23</f>
        <v>12.39622641509434</v>
      </c>
      <c r="F23" s="56">
        <f t="shared" si="0"/>
        <v>8.0669710806697104E-2</v>
      </c>
      <c r="G23" s="56"/>
      <c r="H23" s="89" t="str">
        <f t="shared" ref="H23:H25" si="9">+B23</f>
        <v>OKE</v>
      </c>
      <c r="I23" s="59">
        <f t="shared" ref="I23:I25" si="10">+C23</f>
        <v>65.7</v>
      </c>
      <c r="J23" s="426">
        <v>6.35</v>
      </c>
      <c r="K23" s="61"/>
      <c r="L23" s="71">
        <f t="shared" ref="L23:L25" si="11">I23/J23</f>
        <v>10.346456692913387</v>
      </c>
      <c r="M23" s="56">
        <f t="shared" si="1"/>
        <v>9.6651445966514454E-2</v>
      </c>
      <c r="N23" s="12"/>
    </row>
    <row r="24" spans="1:14" ht="15.75">
      <c r="A24" s="62" t="str">
        <f>+'S&amp;D'!A29</f>
        <v>TC Energy Corp</v>
      </c>
      <c r="B24" s="89" t="str">
        <f>+'S&amp;D'!B29</f>
        <v>TRP</v>
      </c>
      <c r="C24" s="59">
        <f>+'S&amp;D'!G29</f>
        <v>39.86</v>
      </c>
      <c r="D24" s="403">
        <v>4.26</v>
      </c>
      <c r="E24" s="71">
        <f t="shared" si="8"/>
        <v>9.3568075117370899</v>
      </c>
      <c r="F24" s="56">
        <f t="shared" si="0"/>
        <v>0.10687405920722529</v>
      </c>
      <c r="G24" s="56"/>
      <c r="H24" s="89" t="str">
        <f t="shared" si="9"/>
        <v>TRP</v>
      </c>
      <c r="I24" s="59">
        <f t="shared" si="10"/>
        <v>39.86</v>
      </c>
      <c r="J24" s="426">
        <v>4.9000000000000004</v>
      </c>
      <c r="K24" s="61"/>
      <c r="L24" s="71">
        <f t="shared" si="11"/>
        <v>8.1346938775510189</v>
      </c>
      <c r="M24" s="56">
        <f t="shared" si="1"/>
        <v>0.12293025589563475</v>
      </c>
      <c r="N24" s="12"/>
    </row>
    <row r="25" spans="1:14" ht="15.75">
      <c r="A25" s="62" t="str">
        <f>+'S&amp;D'!A30</f>
        <v>Williams Companys Inc</v>
      </c>
      <c r="B25" s="89" t="str">
        <f>+'S&amp;D'!B30</f>
        <v>WMB</v>
      </c>
      <c r="C25" s="59">
        <f>+'S&amp;D'!G30</f>
        <v>32.9</v>
      </c>
      <c r="D25" s="403">
        <v>3.65</v>
      </c>
      <c r="E25" s="71">
        <f t="shared" si="8"/>
        <v>9.0136986301369859</v>
      </c>
      <c r="F25" s="56">
        <f t="shared" si="0"/>
        <v>0.11094224924012158</v>
      </c>
      <c r="G25" s="56"/>
      <c r="H25" s="89" t="str">
        <f t="shared" si="9"/>
        <v>WMB</v>
      </c>
      <c r="I25" s="59">
        <f t="shared" si="10"/>
        <v>32.9</v>
      </c>
      <c r="J25" s="426">
        <v>3.95</v>
      </c>
      <c r="K25" s="61"/>
      <c r="L25" s="71">
        <f t="shared" si="11"/>
        <v>8.3291139240506329</v>
      </c>
      <c r="M25" s="56">
        <f t="shared" si="1"/>
        <v>0.12006079027355623</v>
      </c>
      <c r="N25" s="12"/>
    </row>
    <row r="26" spans="1:14" ht="15.75" thickBot="1">
      <c r="A26" s="12"/>
      <c r="B26" s="69"/>
      <c r="C26" s="69"/>
      <c r="D26" s="69"/>
      <c r="E26" s="69"/>
      <c r="F26" s="69"/>
      <c r="G26" s="12"/>
      <c r="H26" s="69"/>
      <c r="I26" s="69"/>
      <c r="J26" s="316" t="s">
        <v>0</v>
      </c>
      <c r="K26" s="69"/>
      <c r="L26" s="69"/>
      <c r="M26" s="69"/>
      <c r="N26" s="12"/>
    </row>
    <row r="27" spans="1:14" ht="15.75" thickTop="1">
      <c r="A27" s="12"/>
      <c r="C27" s="14" t="s">
        <v>46</v>
      </c>
      <c r="D27" s="70">
        <v>6.2</v>
      </c>
      <c r="E27" s="70">
        <v>12.4</v>
      </c>
      <c r="F27" s="326">
        <v>0.2359</v>
      </c>
      <c r="I27" s="14" t="s">
        <v>46</v>
      </c>
      <c r="J27" s="70">
        <v>6.45</v>
      </c>
      <c r="K27" s="70"/>
      <c r="L27" s="70">
        <v>10.35</v>
      </c>
      <c r="M27" s="326">
        <v>0.25700000000000001</v>
      </c>
      <c r="N27" s="12"/>
    </row>
    <row r="28" spans="1:14">
      <c r="A28" s="12"/>
      <c r="C28" s="355" t="s">
        <v>47</v>
      </c>
      <c r="D28" s="359">
        <v>2</v>
      </c>
      <c r="E28" s="359">
        <v>4.24</v>
      </c>
      <c r="F28" s="352">
        <v>8.0699999999999994E-2</v>
      </c>
      <c r="I28" s="355" t="s">
        <v>47</v>
      </c>
      <c r="J28" s="359">
        <v>2.15</v>
      </c>
      <c r="K28" s="359"/>
      <c r="L28" s="359">
        <v>3.89</v>
      </c>
      <c r="M28" s="352">
        <v>9.6699999999999994E-2</v>
      </c>
      <c r="N28" s="12"/>
    </row>
    <row r="29" spans="1:14">
      <c r="A29" s="12"/>
      <c r="C29" s="14" t="s">
        <v>18</v>
      </c>
      <c r="D29" s="71">
        <f>MEDIAN(D17:D25)</f>
        <v>3.65</v>
      </c>
      <c r="E29" s="21">
        <f>MEDIAN(E17:E25)</f>
        <v>8.5687203791469191</v>
      </c>
      <c r="F29" s="56">
        <f>MEDIAN(F17:F25)</f>
        <v>0.11670353982300885</v>
      </c>
      <c r="G29" s="56"/>
      <c r="I29" s="14" t="s">
        <v>18</v>
      </c>
      <c r="J29" s="71">
        <f>MEDIAN(J17:J25)</f>
        <v>3.95</v>
      </c>
      <c r="K29" s="71"/>
      <c r="L29" s="21">
        <f>MEDIAN(L17:L25)</f>
        <v>7.6936170212765944</v>
      </c>
      <c r="M29" s="56">
        <f>MEDIAN(M17:M25)</f>
        <v>0.12997787610619471</v>
      </c>
      <c r="N29" s="12"/>
    </row>
    <row r="30" spans="1:14">
      <c r="A30" s="12"/>
      <c r="C30" s="14" t="s">
        <v>460</v>
      </c>
      <c r="D30" s="17">
        <f>AVERAGE(D17:D25)</f>
        <v>3.8744444444444444</v>
      </c>
      <c r="E30" s="21">
        <f>AVERAGE(E17:E25)</f>
        <v>8.152455483801484</v>
      </c>
      <c r="F30" s="72">
        <f>AVERAGE(F17:F25)</f>
        <v>0.13514512618975011</v>
      </c>
      <c r="G30" s="72"/>
      <c r="I30" s="14" t="s">
        <v>460</v>
      </c>
      <c r="J30" s="17">
        <f>AVERAGE(J17:J25)</f>
        <v>4.25</v>
      </c>
      <c r="K30" s="17"/>
      <c r="L30" s="21">
        <f>AVERAGE(L17:L25)</f>
        <v>7.3931986326102868</v>
      </c>
      <c r="M30" s="72">
        <f>AVERAGE(M17:M25)</f>
        <v>0.14677943292169543</v>
      </c>
      <c r="N30" s="12"/>
    </row>
    <row r="31" spans="1:14">
      <c r="A31" s="12"/>
      <c r="B31" s="12"/>
      <c r="C31" s="12"/>
      <c r="D31" s="12"/>
      <c r="E31" s="12"/>
      <c r="F31" s="12"/>
      <c r="G31" s="12"/>
      <c r="H31" s="12"/>
      <c r="I31" s="12"/>
      <c r="J31" s="12"/>
      <c r="K31" s="12"/>
      <c r="L31" s="12"/>
      <c r="M31" s="12"/>
      <c r="N31" s="12"/>
    </row>
    <row r="32" spans="1:14" ht="20.25">
      <c r="A32" s="12"/>
      <c r="B32" s="12"/>
      <c r="C32" s="12"/>
      <c r="D32" s="76" t="s">
        <v>75</v>
      </c>
      <c r="E32" s="327">
        <v>8.15</v>
      </c>
      <c r="F32" s="328">
        <v>0.1351</v>
      </c>
      <c r="G32" s="288"/>
      <c r="H32" s="12"/>
      <c r="I32" s="12"/>
      <c r="J32" s="76" t="s">
        <v>75</v>
      </c>
      <c r="K32" s="49"/>
      <c r="L32" s="329">
        <v>7.39</v>
      </c>
      <c r="M32" s="328">
        <v>0.14680000000000001</v>
      </c>
      <c r="N32" s="12"/>
    </row>
    <row r="33" spans="1:14" ht="30" customHeight="1" thickBot="1">
      <c r="A33" s="12"/>
      <c r="B33" s="12"/>
      <c r="C33" s="12"/>
      <c r="D33" s="12"/>
      <c r="E33" s="12"/>
      <c r="G33" s="73"/>
      <c r="H33" s="12"/>
      <c r="I33" s="12"/>
      <c r="J33" s="12"/>
      <c r="K33" s="12"/>
      <c r="L33" s="12"/>
      <c r="M33" s="12"/>
      <c r="N33" s="12"/>
    </row>
    <row r="34" spans="1:14" ht="21" thickBot="1">
      <c r="A34" s="74" t="s">
        <v>0</v>
      </c>
      <c r="B34" s="12"/>
      <c r="C34" s="12"/>
      <c r="D34" s="12"/>
      <c r="E34" s="23" t="s">
        <v>127</v>
      </c>
      <c r="F34" s="23"/>
      <c r="G34" s="231">
        <f>(+E32+L32)/2</f>
        <v>7.77</v>
      </c>
      <c r="H34" s="232">
        <f>(+F32+M32)/2</f>
        <v>0.14095000000000002</v>
      </c>
      <c r="K34" s="12"/>
      <c r="N34" s="12"/>
    </row>
    <row r="35" spans="1:14" ht="16.5">
      <c r="A35" s="74" t="s">
        <v>0</v>
      </c>
      <c r="B35" s="12"/>
      <c r="C35" s="12"/>
      <c r="D35" s="12"/>
      <c r="E35" s="12"/>
      <c r="F35" s="12"/>
      <c r="G35" s="12"/>
      <c r="H35" s="12"/>
      <c r="I35" s="12"/>
      <c r="J35" s="12"/>
      <c r="K35" s="12"/>
      <c r="L35" s="12"/>
      <c r="M35" s="12"/>
      <c r="N35" s="12"/>
    </row>
    <row r="36" spans="1:14">
      <c r="A36" s="12"/>
      <c r="B36" s="12"/>
      <c r="C36" s="12"/>
      <c r="D36" s="12"/>
      <c r="E36" s="12"/>
      <c r="F36" s="12"/>
      <c r="G36" s="12"/>
      <c r="H36" s="12"/>
      <c r="I36" s="12"/>
      <c r="J36" s="12"/>
      <c r="K36" s="12"/>
      <c r="L36" s="12"/>
      <c r="M36" s="12"/>
      <c r="N36" s="12"/>
    </row>
    <row r="37" spans="1:14">
      <c r="A37" s="12"/>
      <c r="B37" s="12"/>
      <c r="C37" s="12"/>
      <c r="D37" s="12"/>
      <c r="E37" s="12"/>
      <c r="F37" s="12"/>
      <c r="G37" s="12"/>
      <c r="H37" s="12"/>
      <c r="I37" s="12"/>
      <c r="J37" s="12"/>
      <c r="K37" s="12"/>
      <c r="L37" s="12"/>
      <c r="M37" s="12"/>
      <c r="N37" s="12"/>
    </row>
    <row r="38" spans="1:14" ht="15.75">
      <c r="A38" s="105" t="s">
        <v>371</v>
      </c>
    </row>
    <row r="39" spans="1:14" ht="15.75">
      <c r="A39" s="105" t="s">
        <v>372</v>
      </c>
    </row>
    <row r="40" spans="1:14" ht="15.75">
      <c r="A40" s="105" t="s">
        <v>373</v>
      </c>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63"/>
  <sheetViews>
    <sheetView view="pageBreakPreview" zoomScale="60" zoomScaleNormal="80" workbookViewId="0">
      <selection activeCell="L35" sqref="L35"/>
    </sheetView>
  </sheetViews>
  <sheetFormatPr defaultRowHeight="15"/>
  <cols>
    <col min="1" max="1" width="53.85546875" customWidth="1"/>
    <col min="2" max="2" width="8" customWidth="1"/>
    <col min="3" max="3" width="12.28515625" bestFit="1" customWidth="1"/>
    <col min="4" max="4" width="20.140625" customWidth="1"/>
    <col min="5" max="5" width="18.85546875" customWidth="1"/>
    <col min="6" max="6" width="19" customWidth="1"/>
    <col min="7" max="7" width="16.42578125" customWidth="1"/>
    <col min="8" max="10" width="19.28515625" customWidth="1"/>
    <col min="11" max="12" width="21.5703125" customWidth="1"/>
    <col min="13" max="13" width="18.28515625" customWidth="1"/>
  </cols>
  <sheetData>
    <row r="1" spans="1:15" ht="20.25">
      <c r="A1" s="23" t="s">
        <v>1</v>
      </c>
      <c r="B1" s="23"/>
      <c r="C1" s="12"/>
      <c r="D1" s="12"/>
      <c r="E1" s="12"/>
      <c r="F1" s="12"/>
      <c r="G1" s="12"/>
      <c r="H1" s="12"/>
      <c r="I1" s="12"/>
      <c r="J1" s="12"/>
      <c r="K1" s="12"/>
      <c r="L1" s="12"/>
      <c r="M1" s="12"/>
      <c r="N1" s="12"/>
      <c r="O1" s="12"/>
    </row>
    <row r="2" spans="1:15" ht="15.75">
      <c r="A2" s="62" t="s">
        <v>9</v>
      </c>
      <c r="B2" s="62"/>
      <c r="C2" s="12"/>
      <c r="D2" s="12"/>
      <c r="E2" s="12"/>
      <c r="F2" s="12"/>
      <c r="G2" s="12"/>
      <c r="H2" s="12"/>
      <c r="I2" s="12"/>
      <c r="J2" s="12"/>
      <c r="K2" s="12"/>
      <c r="L2" s="12"/>
      <c r="M2" s="12"/>
      <c r="N2" s="12"/>
      <c r="O2" s="12"/>
    </row>
    <row r="3" spans="1:15">
      <c r="A3" s="25" t="s">
        <v>63</v>
      </c>
      <c r="B3" s="43"/>
      <c r="C3" s="12"/>
      <c r="D3" s="12"/>
      <c r="E3" s="12"/>
      <c r="F3" s="12"/>
      <c r="G3" s="12"/>
      <c r="H3" s="12"/>
      <c r="I3" s="12"/>
      <c r="J3" s="12"/>
      <c r="K3" s="12"/>
      <c r="L3" s="12"/>
      <c r="M3" s="12"/>
      <c r="N3" s="12"/>
      <c r="O3" s="12"/>
    </row>
    <row r="4" spans="1:15">
      <c r="A4" s="12"/>
      <c r="B4" s="12"/>
      <c r="C4" s="12"/>
      <c r="D4" s="12"/>
      <c r="E4" s="26" t="s">
        <v>0</v>
      </c>
      <c r="F4" s="12"/>
      <c r="G4" s="12"/>
      <c r="H4" s="12"/>
      <c r="I4" s="12"/>
      <c r="J4" s="12"/>
      <c r="K4" s="12"/>
      <c r="L4" s="12"/>
      <c r="M4" s="12"/>
      <c r="N4" s="12"/>
      <c r="O4" s="12"/>
    </row>
    <row r="5" spans="1:15" ht="16.5" thickBot="1">
      <c r="A5" s="62"/>
      <c r="B5" s="62"/>
      <c r="C5" s="12"/>
      <c r="D5" s="12"/>
      <c r="E5" s="12"/>
      <c r="F5" s="12"/>
      <c r="G5" s="12"/>
      <c r="H5" s="12"/>
      <c r="I5" s="12"/>
      <c r="J5" s="12"/>
      <c r="K5" s="12"/>
      <c r="L5" s="12"/>
      <c r="M5" s="12"/>
      <c r="N5" s="12"/>
      <c r="O5" s="12"/>
    </row>
    <row r="6" spans="1:15" ht="18.75" thickBot="1">
      <c r="A6" s="278" t="str">
        <f>+'S&amp;D'!A12</f>
        <v>Natural Gas Transmission Pipeline Carrier</v>
      </c>
      <c r="B6" s="281"/>
      <c r="C6" s="12"/>
      <c r="D6" s="12"/>
      <c r="E6" s="12"/>
      <c r="F6" s="12"/>
      <c r="G6" s="12"/>
      <c r="H6" s="12"/>
      <c r="I6" s="12"/>
      <c r="J6" s="12"/>
      <c r="K6" s="12"/>
      <c r="L6" s="12"/>
      <c r="M6" s="12"/>
      <c r="N6" s="12"/>
      <c r="O6" s="12"/>
    </row>
    <row r="7" spans="1:15" ht="16.5" thickBot="1">
      <c r="A7" s="62"/>
      <c r="B7" s="62"/>
      <c r="C7" s="28"/>
      <c r="D7" s="28"/>
      <c r="E7" s="28"/>
      <c r="F7" s="28"/>
      <c r="G7" s="28"/>
      <c r="H7" s="12"/>
      <c r="I7" s="28"/>
      <c r="J7" s="28"/>
      <c r="K7" s="28"/>
      <c r="L7" s="28"/>
      <c r="M7" s="28"/>
      <c r="N7" s="12"/>
      <c r="O7" s="12"/>
    </row>
    <row r="8" spans="1:15" ht="20.25">
      <c r="B8" s="30"/>
      <c r="C8" s="12"/>
      <c r="D8" s="12"/>
      <c r="E8" s="31" t="s">
        <v>240</v>
      </c>
      <c r="F8" s="12"/>
      <c r="G8" s="12"/>
      <c r="H8" s="12"/>
      <c r="I8" s="12"/>
      <c r="J8" s="12"/>
      <c r="K8" s="31" t="s">
        <v>241</v>
      </c>
      <c r="L8" s="12"/>
      <c r="M8" s="12"/>
      <c r="N8" s="12"/>
      <c r="O8" s="12"/>
    </row>
    <row r="9" spans="1:15" ht="18.75" thickBot="1">
      <c r="A9" s="30"/>
      <c r="B9" s="30"/>
      <c r="C9" s="28"/>
      <c r="D9" s="28"/>
      <c r="E9" s="36" t="s">
        <v>77</v>
      </c>
      <c r="F9" s="28"/>
      <c r="G9" s="28"/>
      <c r="H9" s="12"/>
      <c r="I9" s="28"/>
      <c r="J9" s="28"/>
      <c r="K9" s="36" t="s">
        <v>77</v>
      </c>
      <c r="L9" s="28"/>
      <c r="M9" s="28"/>
      <c r="N9" s="12"/>
      <c r="O9" s="12"/>
    </row>
    <row r="10" spans="1:15" ht="15.75" thickBot="1">
      <c r="A10" s="33" t="s">
        <v>0</v>
      </c>
      <c r="B10" s="33"/>
      <c r="C10" s="33" t="s">
        <v>0</v>
      </c>
      <c r="D10" s="33" t="s">
        <v>0</v>
      </c>
      <c r="E10" s="33" t="s">
        <v>0</v>
      </c>
      <c r="F10" s="33" t="s">
        <v>0</v>
      </c>
      <c r="G10" s="33" t="s">
        <v>0</v>
      </c>
      <c r="H10" s="12"/>
      <c r="I10" s="28"/>
      <c r="J10" s="28"/>
      <c r="K10" s="28"/>
      <c r="L10" s="28"/>
      <c r="M10" s="28"/>
      <c r="N10" s="12"/>
      <c r="O10" s="12"/>
    </row>
    <row r="11" spans="1:15">
      <c r="A11" s="34" t="s">
        <v>0</v>
      </c>
      <c r="B11" s="34"/>
      <c r="C11" s="34" t="s">
        <v>3</v>
      </c>
      <c r="D11" s="34" t="s">
        <v>365</v>
      </c>
      <c r="E11" s="34" t="s">
        <v>367</v>
      </c>
      <c r="F11" s="34" t="s">
        <v>114</v>
      </c>
      <c r="G11" s="34" t="s">
        <v>27</v>
      </c>
      <c r="H11" s="12"/>
      <c r="I11" s="34" t="s">
        <v>3</v>
      </c>
      <c r="J11" s="34" t="s">
        <v>365</v>
      </c>
      <c r="K11" s="34" t="s">
        <v>367</v>
      </c>
      <c r="L11" s="34" t="s">
        <v>114</v>
      </c>
      <c r="M11" s="34" t="s">
        <v>27</v>
      </c>
      <c r="N11" s="12"/>
      <c r="O11" s="12"/>
    </row>
    <row r="12" spans="1:15" ht="15.75" thickBot="1">
      <c r="A12" s="36" t="s">
        <v>2</v>
      </c>
      <c r="B12" s="36"/>
      <c r="C12" s="36" t="s">
        <v>4</v>
      </c>
      <c r="D12" s="36" t="s">
        <v>28</v>
      </c>
      <c r="E12" s="36" t="s">
        <v>172</v>
      </c>
      <c r="F12" s="36" t="s">
        <v>29</v>
      </c>
      <c r="G12" s="36" t="s">
        <v>30</v>
      </c>
      <c r="H12" s="12"/>
      <c r="I12" s="36" t="s">
        <v>4</v>
      </c>
      <c r="J12" s="36" t="s">
        <v>28</v>
      </c>
      <c r="K12" s="36" t="s">
        <v>172</v>
      </c>
      <c r="L12" s="36" t="s">
        <v>29</v>
      </c>
      <c r="M12" s="36" t="s">
        <v>30</v>
      </c>
      <c r="N12" s="12"/>
      <c r="O12" s="12"/>
    </row>
    <row r="13" spans="1:15">
      <c r="A13" s="38" t="s">
        <v>0</v>
      </c>
      <c r="B13" s="38"/>
      <c r="C13" s="38" t="s">
        <v>0</v>
      </c>
      <c r="D13" s="39" t="s">
        <v>116</v>
      </c>
      <c r="E13" s="75" t="s">
        <v>117</v>
      </c>
      <c r="F13" s="38" t="s">
        <v>0</v>
      </c>
      <c r="G13" s="38" t="s">
        <v>0</v>
      </c>
      <c r="H13" s="12"/>
      <c r="I13" s="38" t="s">
        <v>0</v>
      </c>
      <c r="J13" s="39" t="s">
        <v>116</v>
      </c>
      <c r="K13" s="75" t="s">
        <v>115</v>
      </c>
      <c r="L13" s="38" t="s">
        <v>0</v>
      </c>
      <c r="M13" s="38" t="s">
        <v>0</v>
      </c>
      <c r="N13" s="12"/>
      <c r="O13" s="12"/>
    </row>
    <row r="14" spans="1:15">
      <c r="A14" s="34"/>
      <c r="B14" s="34"/>
      <c r="C14" s="34"/>
      <c r="D14" s="34"/>
      <c r="E14" s="34"/>
      <c r="F14" s="34"/>
      <c r="G14" s="34"/>
      <c r="H14" s="12"/>
      <c r="I14" s="34"/>
      <c r="J14" s="34"/>
      <c r="K14" s="34"/>
      <c r="L14" s="34"/>
      <c r="M14" s="34"/>
      <c r="N14" s="12"/>
      <c r="O14" s="12"/>
    </row>
    <row r="15" spans="1:15">
      <c r="A15" s="12"/>
      <c r="B15" s="12"/>
      <c r="C15" s="12"/>
      <c r="D15" s="12"/>
      <c r="E15" s="12"/>
      <c r="F15" s="12"/>
      <c r="G15" s="12"/>
      <c r="H15" s="12"/>
      <c r="I15" s="12"/>
      <c r="J15" s="12"/>
      <c r="K15" s="12"/>
      <c r="L15" s="12"/>
      <c r="M15" s="12"/>
      <c r="N15" s="12"/>
      <c r="O15" s="12"/>
    </row>
    <row r="16" spans="1:15" ht="15.75">
      <c r="A16" s="62" t="str">
        <f>+'S&amp;D'!A22</f>
        <v>DCP Midstream LP</v>
      </c>
      <c r="B16" s="62"/>
      <c r="C16" s="89" t="str">
        <f>+'S&amp;D'!B22</f>
        <v>DCP</v>
      </c>
      <c r="D16" s="59">
        <f>'S&amp;D'!G22</f>
        <v>38.79</v>
      </c>
      <c r="E16" s="403">
        <f>+Earnings!E16</f>
        <v>4.71</v>
      </c>
      <c r="F16" s="71">
        <f>D16/E16</f>
        <v>8.2356687898089174</v>
      </c>
      <c r="G16" s="56">
        <f t="shared" ref="G16:G24" si="0">1/F16</f>
        <v>0.1214230471771075</v>
      </c>
      <c r="H16" s="12"/>
      <c r="I16" s="34" t="str">
        <f>+C16</f>
        <v>DCP</v>
      </c>
      <c r="J16" s="59">
        <f>+D16</f>
        <v>38.79</v>
      </c>
      <c r="K16" s="403">
        <f>+Earnings!G16</f>
        <v>4.25</v>
      </c>
      <c r="L16" s="71">
        <f>J16/K16</f>
        <v>9.1270588235294117</v>
      </c>
      <c r="M16" s="56">
        <f t="shared" ref="M16:M24" si="1">1/L16</f>
        <v>0.10956432070121165</v>
      </c>
      <c r="N16" s="12"/>
      <c r="O16" s="12"/>
    </row>
    <row r="17" spans="1:15" ht="15.75">
      <c r="A17" s="62" t="str">
        <f>+'S&amp;D'!A23</f>
        <v>Enbridge Inc</v>
      </c>
      <c r="B17" s="62"/>
      <c r="C17" s="89" t="str">
        <f>+'S&amp;D'!B23</f>
        <v>ENB.TO</v>
      </c>
      <c r="D17" s="59">
        <f>'S&amp;D'!G23</f>
        <v>52.92</v>
      </c>
      <c r="E17" s="403">
        <v>2.81</v>
      </c>
      <c r="F17" s="71">
        <f t="shared" ref="F17:F21" si="2">D17/E17</f>
        <v>18.832740213523131</v>
      </c>
      <c r="G17" s="56">
        <f t="shared" ref="G17:G21" si="3">1/F17</f>
        <v>5.3099017384731675E-2</v>
      </c>
      <c r="H17" s="12"/>
      <c r="I17" s="34" t="str">
        <f t="shared" ref="I17:I21" si="4">+C17</f>
        <v>ENB.TO</v>
      </c>
      <c r="J17" s="59">
        <f t="shared" ref="J17:J21" si="5">+D17</f>
        <v>52.92</v>
      </c>
      <c r="K17" s="403">
        <v>3</v>
      </c>
      <c r="L17" s="71">
        <f t="shared" ref="L17:L21" si="6">J17/K17</f>
        <v>17.64</v>
      </c>
      <c r="M17" s="56">
        <f t="shared" ref="M17:M21" si="7">1/L17</f>
        <v>5.6689342403628114E-2</v>
      </c>
      <c r="N17" s="12"/>
      <c r="O17" s="12"/>
    </row>
    <row r="18" spans="1:15" ht="15.75">
      <c r="A18" s="62" t="str">
        <f>+'S&amp;D'!A24</f>
        <v>Energy Transfer LP</v>
      </c>
      <c r="B18" s="62"/>
      <c r="C18" s="89" t="str">
        <f>+'S&amp;D'!B24</f>
        <v>ET</v>
      </c>
      <c r="D18" s="59">
        <f>'S&amp;D'!G24</f>
        <v>11.87</v>
      </c>
      <c r="E18" s="403">
        <v>1.45</v>
      </c>
      <c r="F18" s="71">
        <f t="shared" si="2"/>
        <v>8.1862068965517238</v>
      </c>
      <c r="G18" s="56">
        <f t="shared" si="3"/>
        <v>0.12215669755686605</v>
      </c>
      <c r="H18" s="12"/>
      <c r="I18" s="34" t="str">
        <f t="shared" si="4"/>
        <v>ET</v>
      </c>
      <c r="J18" s="59">
        <f t="shared" si="5"/>
        <v>11.87</v>
      </c>
      <c r="K18" s="403">
        <v>1.6</v>
      </c>
      <c r="L18" s="71">
        <f t="shared" si="6"/>
        <v>7.4187499999999993</v>
      </c>
      <c r="M18" s="56">
        <f t="shared" si="7"/>
        <v>0.13479359730412807</v>
      </c>
      <c r="N18" s="12"/>
      <c r="O18" s="12"/>
    </row>
    <row r="19" spans="1:15" ht="15.75">
      <c r="A19" s="62" t="str">
        <f>+'S&amp;D'!A25</f>
        <v>Enlink Midstream LLC</v>
      </c>
      <c r="B19" s="62"/>
      <c r="C19" s="89" t="str">
        <f>+'S&amp;D'!B25</f>
        <v>ENLC</v>
      </c>
      <c r="D19" s="59">
        <f>'S&amp;D'!G25</f>
        <v>12.3</v>
      </c>
      <c r="E19" s="403">
        <v>0.6</v>
      </c>
      <c r="F19" s="71">
        <f t="shared" si="2"/>
        <v>20.500000000000004</v>
      </c>
      <c r="G19" s="56">
        <f t="shared" si="3"/>
        <v>4.8780487804878044E-2</v>
      </c>
      <c r="H19" s="12"/>
      <c r="I19" s="34" t="str">
        <f t="shared" si="4"/>
        <v>ENLC</v>
      </c>
      <c r="J19" s="59">
        <f t="shared" si="5"/>
        <v>12.3</v>
      </c>
      <c r="K19" s="403">
        <v>0.65</v>
      </c>
      <c r="L19" s="71">
        <f t="shared" si="6"/>
        <v>18.923076923076923</v>
      </c>
      <c r="M19" s="56">
        <f t="shared" si="7"/>
        <v>5.2845528455284549E-2</v>
      </c>
      <c r="N19" s="12"/>
      <c r="O19" s="12"/>
    </row>
    <row r="20" spans="1:15" ht="15.75">
      <c r="A20" s="62" t="str">
        <f>+'S&amp;D'!A26</f>
        <v>Enterprise Products Partnership LP</v>
      </c>
      <c r="B20" s="62"/>
      <c r="C20" s="89" t="str">
        <f>+'S&amp;D'!B26</f>
        <v>EPD</v>
      </c>
      <c r="D20" s="59">
        <f>'S&amp;D'!G26</f>
        <v>24.12</v>
      </c>
      <c r="E20" s="403">
        <v>2.5</v>
      </c>
      <c r="F20" s="71">
        <f t="shared" si="2"/>
        <v>9.6479999999999997</v>
      </c>
      <c r="G20" s="56">
        <f t="shared" si="3"/>
        <v>0.10364842454394693</v>
      </c>
      <c r="H20" s="12"/>
      <c r="I20" s="34" t="str">
        <f t="shared" si="4"/>
        <v>EPD</v>
      </c>
      <c r="J20" s="59">
        <f t="shared" si="5"/>
        <v>24.12</v>
      </c>
      <c r="K20" s="403">
        <v>2.6</v>
      </c>
      <c r="L20" s="71">
        <f t="shared" si="6"/>
        <v>9.2769230769230777</v>
      </c>
      <c r="M20" s="56">
        <f t="shared" si="7"/>
        <v>0.1077943615257048</v>
      </c>
      <c r="N20" s="12"/>
      <c r="O20" s="12"/>
    </row>
    <row r="21" spans="1:15" ht="15.75">
      <c r="A21" s="62" t="str">
        <f>+'S&amp;D'!A27</f>
        <v>Kinder Morgan Inc</v>
      </c>
      <c r="B21" s="62"/>
      <c r="C21" s="89" t="str">
        <f>+'S&amp;D'!B27</f>
        <v>KMI</v>
      </c>
      <c r="D21" s="59">
        <f>'S&amp;D'!G27</f>
        <v>18.079999999999998</v>
      </c>
      <c r="E21" s="403">
        <v>1.1200000000000001</v>
      </c>
      <c r="F21" s="71">
        <f t="shared" si="2"/>
        <v>16.142857142857139</v>
      </c>
      <c r="G21" s="56">
        <f t="shared" si="3"/>
        <v>6.194690265486727E-2</v>
      </c>
      <c r="H21" s="12"/>
      <c r="I21" s="34" t="str">
        <f t="shared" si="4"/>
        <v>KMI</v>
      </c>
      <c r="J21" s="59">
        <f t="shared" si="5"/>
        <v>18.079999999999998</v>
      </c>
      <c r="K21" s="403">
        <v>1.25</v>
      </c>
      <c r="L21" s="71">
        <f t="shared" si="6"/>
        <v>14.463999999999999</v>
      </c>
      <c r="M21" s="56">
        <f t="shared" si="7"/>
        <v>6.9137168141592931E-2</v>
      </c>
      <c r="N21" s="12"/>
      <c r="O21" s="12"/>
    </row>
    <row r="22" spans="1:15" ht="15.75">
      <c r="A22" s="62" t="str">
        <f>+'S&amp;D'!A28</f>
        <v>ONEOK Inc</v>
      </c>
      <c r="B22" s="62"/>
      <c r="C22" s="89" t="str">
        <f>+'S&amp;D'!B28</f>
        <v>OKE</v>
      </c>
      <c r="D22" s="59">
        <f>'S&amp;D'!G28</f>
        <v>65.7</v>
      </c>
      <c r="E22" s="403">
        <v>3.8</v>
      </c>
      <c r="F22" s="71">
        <f t="shared" ref="F22:F24" si="8">D22/E22</f>
        <v>17.289473684210527</v>
      </c>
      <c r="G22" s="56">
        <f t="shared" si="0"/>
        <v>5.7838660578386603E-2</v>
      </c>
      <c r="H22" s="12"/>
      <c r="I22" s="34" t="str">
        <f t="shared" ref="I22:I24" si="9">+C22</f>
        <v>OKE</v>
      </c>
      <c r="J22" s="59">
        <f t="shared" ref="J22:J24" si="10">+D22</f>
        <v>65.7</v>
      </c>
      <c r="K22" s="403">
        <v>4.7</v>
      </c>
      <c r="L22" s="71">
        <f t="shared" ref="L22:L24" si="11">J22/K22</f>
        <v>13.978723404255319</v>
      </c>
      <c r="M22" s="56">
        <f t="shared" si="1"/>
        <v>7.1537290715372903E-2</v>
      </c>
      <c r="N22" s="12"/>
      <c r="O22" s="12"/>
    </row>
    <row r="23" spans="1:15" ht="15.75">
      <c r="A23" s="62" t="str">
        <f>+'S&amp;D'!A29</f>
        <v>TC Energy Corp</v>
      </c>
      <c r="B23" s="62"/>
      <c r="C23" s="89" t="str">
        <f>+'S&amp;D'!B29</f>
        <v>TRP</v>
      </c>
      <c r="D23" s="59">
        <f>'S&amp;D'!G29</f>
        <v>39.86</v>
      </c>
      <c r="E23" s="403">
        <v>2.44</v>
      </c>
      <c r="F23" s="71">
        <f t="shared" si="8"/>
        <v>16.33606557377049</v>
      </c>
      <c r="G23" s="56">
        <f t="shared" si="0"/>
        <v>6.1214249874560971E-2</v>
      </c>
      <c r="H23" s="12"/>
      <c r="I23" s="34" t="str">
        <f t="shared" si="9"/>
        <v>TRP</v>
      </c>
      <c r="J23" s="59">
        <f t="shared" si="10"/>
        <v>39.86</v>
      </c>
      <c r="K23" s="403">
        <v>2.9</v>
      </c>
      <c r="L23" s="71">
        <f t="shared" si="11"/>
        <v>13.744827586206897</v>
      </c>
      <c r="M23" s="56">
        <f t="shared" si="1"/>
        <v>7.2754641244355239E-2</v>
      </c>
      <c r="N23" s="12"/>
      <c r="O23" s="12"/>
    </row>
    <row r="24" spans="1:15" ht="15.75">
      <c r="A24" s="62" t="str">
        <f>+'S&amp;D'!A30</f>
        <v>Williams Companys Inc</v>
      </c>
      <c r="B24" s="62"/>
      <c r="C24" s="89" t="str">
        <f>+'S&amp;D'!B30</f>
        <v>WMB</v>
      </c>
      <c r="D24" s="59">
        <f>'S&amp;D'!G30</f>
        <v>32.9</v>
      </c>
      <c r="E24" s="403">
        <v>1.7</v>
      </c>
      <c r="F24" s="71">
        <f t="shared" si="8"/>
        <v>19.352941176470587</v>
      </c>
      <c r="G24" s="56">
        <f t="shared" si="0"/>
        <v>5.1671732522796353E-2</v>
      </c>
      <c r="H24" s="12"/>
      <c r="I24" s="34" t="str">
        <f t="shared" si="9"/>
        <v>WMB</v>
      </c>
      <c r="J24" s="59">
        <f t="shared" si="10"/>
        <v>32.9</v>
      </c>
      <c r="K24" s="403">
        <v>1.85</v>
      </c>
      <c r="L24" s="71">
        <f t="shared" si="11"/>
        <v>17.783783783783782</v>
      </c>
      <c r="M24" s="56">
        <f t="shared" si="1"/>
        <v>5.6231003039513679E-2</v>
      </c>
      <c r="N24" s="12"/>
      <c r="O24" s="12"/>
    </row>
    <row r="25" spans="1:15" ht="16.5" thickBot="1">
      <c r="A25" s="12"/>
      <c r="B25" s="12"/>
      <c r="C25" s="69"/>
      <c r="D25" s="69"/>
      <c r="E25" s="69"/>
      <c r="F25" s="69"/>
      <c r="G25" s="69"/>
      <c r="H25" s="12"/>
      <c r="I25" s="69"/>
      <c r="J25" s="64" t="s">
        <v>0</v>
      </c>
      <c r="K25" s="69"/>
      <c r="L25" s="69"/>
      <c r="M25" s="69"/>
      <c r="N25" s="12"/>
      <c r="O25" s="12"/>
    </row>
    <row r="26" spans="1:15" ht="15.75" thickTop="1">
      <c r="A26" s="12"/>
      <c r="B26" s="12"/>
      <c r="D26" s="14" t="s">
        <v>46</v>
      </c>
      <c r="E26" s="70">
        <v>4.71</v>
      </c>
      <c r="F26" s="70">
        <v>20.5</v>
      </c>
      <c r="G26" s="326">
        <v>0.1222</v>
      </c>
      <c r="H26" s="12"/>
      <c r="J26" s="14" t="s">
        <v>46</v>
      </c>
      <c r="K26" s="70">
        <v>4.7</v>
      </c>
      <c r="L26" s="70">
        <v>18.920000000000002</v>
      </c>
      <c r="M26" s="326">
        <v>0.1348</v>
      </c>
      <c r="N26" s="12"/>
      <c r="O26" s="12"/>
    </row>
    <row r="27" spans="1:15">
      <c r="A27" s="12"/>
      <c r="B27" s="12"/>
      <c r="D27" s="355" t="s">
        <v>47</v>
      </c>
      <c r="E27" s="359">
        <v>0.6</v>
      </c>
      <c r="F27" s="359">
        <v>8.19</v>
      </c>
      <c r="G27" s="352">
        <v>4.8800000000000003E-2</v>
      </c>
      <c r="H27" s="12"/>
      <c r="J27" s="355" t="s">
        <v>47</v>
      </c>
      <c r="K27" s="359">
        <v>0.65</v>
      </c>
      <c r="L27" s="359">
        <v>7.42</v>
      </c>
      <c r="M27" s="352">
        <v>5.28E-2</v>
      </c>
      <c r="N27" s="12"/>
      <c r="O27" s="12"/>
    </row>
    <row r="28" spans="1:15">
      <c r="A28" s="12"/>
      <c r="B28" s="12"/>
      <c r="D28" s="14" t="s">
        <v>18</v>
      </c>
      <c r="E28" s="71">
        <f>MEDIAN(E16:E24)</f>
        <v>2.44</v>
      </c>
      <c r="F28" s="21">
        <f>MEDIAN(F16:F24)</f>
        <v>16.33606557377049</v>
      </c>
      <c r="G28" s="56">
        <f>MEDIAN(G16:G24)</f>
        <v>6.1214249874560971E-2</v>
      </c>
      <c r="H28" s="12"/>
      <c r="J28" s="14" t="s">
        <v>18</v>
      </c>
      <c r="K28" s="71">
        <f>MEDIAN(K16:K24)</f>
        <v>2.6</v>
      </c>
      <c r="L28" s="21">
        <f>MEDIAN(L16:L24)</f>
        <v>13.978723404255319</v>
      </c>
      <c r="M28" s="56">
        <f>MEDIAN(M16:M24)</f>
        <v>7.1537290715372903E-2</v>
      </c>
      <c r="N28" s="12"/>
      <c r="O28" s="12"/>
    </row>
    <row r="29" spans="1:15">
      <c r="A29" s="12"/>
      <c r="B29" s="12"/>
      <c r="D29" s="14" t="s">
        <v>460</v>
      </c>
      <c r="E29" s="17">
        <f>AVERAGE(E16:E24)</f>
        <v>2.3477777777777775</v>
      </c>
      <c r="F29" s="21">
        <f>AVERAGE(F16:F24)</f>
        <v>14.94710594191028</v>
      </c>
      <c r="G29" s="72">
        <f>AVERAGE(G16:G24)</f>
        <v>7.5753246677571259E-2</v>
      </c>
      <c r="H29" s="12"/>
      <c r="J29" s="14" t="s">
        <v>460</v>
      </c>
      <c r="K29" s="17">
        <f>AVERAGE(K16:K24)</f>
        <v>2.5333333333333332</v>
      </c>
      <c r="L29" s="21">
        <f>AVERAGE(L16:L24)</f>
        <v>13.5952381775306</v>
      </c>
      <c r="M29" s="72">
        <f>AVERAGE(M16:M24)</f>
        <v>8.1260805947865777E-2</v>
      </c>
      <c r="N29" s="12"/>
      <c r="O29" s="12"/>
    </row>
    <row r="30" spans="1:15">
      <c r="A30" s="12"/>
      <c r="B30" s="12"/>
      <c r="C30" s="12"/>
      <c r="D30" s="12"/>
      <c r="E30" s="12"/>
      <c r="F30" s="12"/>
      <c r="G30" s="12"/>
      <c r="H30" s="12"/>
      <c r="I30" s="12"/>
      <c r="J30" s="12"/>
      <c r="K30" s="12"/>
      <c r="L30" s="12"/>
      <c r="M30" s="12"/>
      <c r="N30" s="12"/>
      <c r="O30" s="12"/>
    </row>
    <row r="31" spans="1:15" ht="20.25">
      <c r="A31" s="12"/>
      <c r="B31" s="12"/>
      <c r="C31" s="12"/>
      <c r="D31" s="12"/>
      <c r="E31" s="76" t="s">
        <v>75</v>
      </c>
      <c r="F31" s="330">
        <v>14.95</v>
      </c>
      <c r="G31" s="328">
        <v>7.5800000000000006E-2</v>
      </c>
      <c r="H31" s="12"/>
      <c r="I31" s="12"/>
      <c r="J31" s="12"/>
      <c r="K31" s="76" t="s">
        <v>75</v>
      </c>
      <c r="L31" s="331">
        <v>13.6</v>
      </c>
      <c r="M31" s="328">
        <v>8.1299999999999997E-2</v>
      </c>
      <c r="N31" s="12"/>
      <c r="O31" s="12"/>
    </row>
    <row r="32" spans="1:15">
      <c r="A32" s="12"/>
      <c r="B32" s="12"/>
      <c r="C32" s="12"/>
      <c r="D32" s="12"/>
      <c r="E32" s="12"/>
      <c r="F32" s="12"/>
      <c r="K32" s="12"/>
      <c r="L32" s="12"/>
      <c r="M32" s="12"/>
      <c r="N32" s="12"/>
      <c r="O32" s="12"/>
    </row>
    <row r="33" spans="1:15" ht="30" customHeight="1">
      <c r="A33" s="12"/>
      <c r="B33" s="12"/>
      <c r="C33" s="12"/>
      <c r="D33" s="12"/>
      <c r="E33" s="12"/>
      <c r="F33" s="12"/>
      <c r="K33" s="12"/>
      <c r="L33" s="12"/>
      <c r="M33" s="12"/>
      <c r="N33" s="12"/>
      <c r="O33" s="12"/>
    </row>
    <row r="34" spans="1:15" ht="15.75" thickBot="1">
      <c r="A34" s="12"/>
      <c r="B34" s="12"/>
      <c r="C34" s="12"/>
      <c r="D34" s="12"/>
      <c r="E34" s="12"/>
      <c r="F34" s="12"/>
      <c r="K34" s="12"/>
      <c r="L34" s="12"/>
      <c r="M34" s="12"/>
      <c r="N34" s="12"/>
      <c r="O34" s="12"/>
    </row>
    <row r="35" spans="1:15" ht="30.75" customHeight="1" thickBot="1">
      <c r="A35" s="74" t="s">
        <v>0</v>
      </c>
      <c r="B35" s="74"/>
      <c r="C35" s="12"/>
      <c r="D35" s="12"/>
      <c r="E35" s="12"/>
      <c r="G35" s="23" t="s">
        <v>127</v>
      </c>
      <c r="H35" s="12"/>
      <c r="I35" s="233">
        <f>(+F31+L31)/2</f>
        <v>14.274999999999999</v>
      </c>
      <c r="J35" s="234">
        <f>(+G31+M31)/2</f>
        <v>7.8550000000000009E-2</v>
      </c>
      <c r="N35" s="12"/>
      <c r="O35" s="12"/>
    </row>
    <row r="36" spans="1:15" ht="16.5">
      <c r="A36" s="74" t="s">
        <v>0</v>
      </c>
      <c r="B36" s="74"/>
      <c r="C36" s="12"/>
      <c r="D36" s="12"/>
      <c r="E36" s="12"/>
      <c r="F36" s="12"/>
      <c r="G36" s="12"/>
      <c r="H36" s="12"/>
      <c r="I36" s="12"/>
      <c r="J36" s="12"/>
      <c r="K36" s="12"/>
      <c r="L36" s="12"/>
      <c r="M36" s="12"/>
      <c r="N36" s="12"/>
      <c r="O36" s="12"/>
    </row>
    <row r="37" spans="1:15">
      <c r="A37" s="12"/>
      <c r="B37" s="12"/>
      <c r="C37" s="12"/>
      <c r="D37" s="12"/>
      <c r="E37" s="12"/>
      <c r="F37" s="12"/>
      <c r="G37" s="12"/>
      <c r="H37" s="12"/>
      <c r="I37" s="12"/>
      <c r="J37" s="12"/>
      <c r="K37" s="12"/>
      <c r="L37" s="12"/>
      <c r="M37" s="12"/>
      <c r="N37" s="12"/>
      <c r="O37" s="12"/>
    </row>
    <row r="38" spans="1:15">
      <c r="A38" s="12"/>
      <c r="B38" s="12"/>
      <c r="C38" s="12"/>
      <c r="D38" s="12"/>
      <c r="E38" s="12"/>
      <c r="F38" s="12"/>
      <c r="G38" s="12"/>
      <c r="H38" s="12"/>
      <c r="I38" s="12"/>
      <c r="J38" s="12"/>
      <c r="K38" s="12"/>
      <c r="L38" s="12"/>
      <c r="M38" s="12"/>
      <c r="N38" s="12"/>
      <c r="O38" s="12"/>
    </row>
    <row r="39" spans="1:15" ht="15.75" thickBot="1">
      <c r="B39" s="157"/>
      <c r="C39" s="157"/>
      <c r="D39" s="157"/>
      <c r="E39" s="157"/>
      <c r="F39" s="157"/>
      <c r="G39" s="157"/>
    </row>
    <row r="40" spans="1:15" ht="20.25">
      <c r="C40" s="12"/>
      <c r="D40" s="12"/>
      <c r="E40" s="31" t="s">
        <v>247</v>
      </c>
      <c r="F40" s="12"/>
      <c r="G40" s="12"/>
    </row>
    <row r="41" spans="1:15" ht="18.75" thickBot="1">
      <c r="A41" s="30"/>
      <c r="B41" s="157"/>
      <c r="C41" s="28"/>
      <c r="D41" s="28"/>
      <c r="E41" s="36" t="s">
        <v>77</v>
      </c>
      <c r="F41" s="28"/>
      <c r="G41" s="28"/>
    </row>
    <row r="42" spans="1:15" ht="15.75" thickBot="1">
      <c r="A42" s="33" t="s">
        <v>0</v>
      </c>
      <c r="B42" s="157"/>
      <c r="C42" s="33" t="s">
        <v>0</v>
      </c>
      <c r="D42" s="33" t="s">
        <v>0</v>
      </c>
      <c r="E42" s="33" t="s">
        <v>0</v>
      </c>
      <c r="F42" s="33" t="s">
        <v>0</v>
      </c>
      <c r="G42" s="33" t="s">
        <v>0</v>
      </c>
    </row>
    <row r="43" spans="1:15">
      <c r="A43" s="34" t="s">
        <v>0</v>
      </c>
      <c r="C43" s="34" t="s">
        <v>3</v>
      </c>
      <c r="D43" s="34" t="s">
        <v>365</v>
      </c>
      <c r="E43" s="34" t="s">
        <v>367</v>
      </c>
      <c r="F43" s="34" t="s">
        <v>114</v>
      </c>
      <c r="G43" s="34" t="s">
        <v>27</v>
      </c>
    </row>
    <row r="44" spans="1:15" ht="15.75" thickBot="1">
      <c r="A44" s="36" t="s">
        <v>2</v>
      </c>
      <c r="B44" s="157"/>
      <c r="C44" s="36" t="s">
        <v>4</v>
      </c>
      <c r="D44" s="36" t="s">
        <v>28</v>
      </c>
      <c r="E44" s="36" t="s">
        <v>172</v>
      </c>
      <c r="F44" s="36" t="s">
        <v>29</v>
      </c>
      <c r="G44" s="36" t="s">
        <v>30</v>
      </c>
    </row>
    <row r="45" spans="1:15">
      <c r="A45" s="38" t="s">
        <v>0</v>
      </c>
      <c r="C45" s="38" t="s">
        <v>0</v>
      </c>
      <c r="D45" s="39" t="s">
        <v>116</v>
      </c>
      <c r="E45" s="75" t="s">
        <v>248</v>
      </c>
      <c r="F45" s="38" t="s">
        <v>0</v>
      </c>
      <c r="G45" s="38" t="s">
        <v>0</v>
      </c>
    </row>
    <row r="46" spans="1:15">
      <c r="A46" s="34"/>
      <c r="C46" s="34"/>
      <c r="D46" s="34"/>
      <c r="E46" s="34"/>
      <c r="F46" s="34"/>
      <c r="G46" s="34"/>
    </row>
    <row r="47" spans="1:15">
      <c r="A47" s="12"/>
      <c r="C47" s="12"/>
      <c r="D47" s="12"/>
      <c r="E47" s="12"/>
      <c r="F47" s="12"/>
      <c r="G47" s="12"/>
    </row>
    <row r="48" spans="1:15" ht="15.75">
      <c r="A48" s="62" t="str">
        <f>+'S&amp;D'!A22</f>
        <v>DCP Midstream LP</v>
      </c>
      <c r="C48" s="89" t="str">
        <f>+'S&amp;D'!B22</f>
        <v>DCP</v>
      </c>
      <c r="D48" s="59">
        <f>'S&amp;D'!G22</f>
        <v>38.79</v>
      </c>
      <c r="E48" s="403">
        <f>+Earnings!I16</f>
        <v>3.75</v>
      </c>
      <c r="F48" s="71">
        <f t="shared" ref="F48:F56" si="12">D48/E48</f>
        <v>10.343999999999999</v>
      </c>
      <c r="G48" s="56">
        <f t="shared" ref="G48:G56" si="13">1/F48</f>
        <v>9.6674400618716169E-2</v>
      </c>
    </row>
    <row r="49" spans="1:7" ht="15.75">
      <c r="A49" s="62" t="str">
        <f>+'S&amp;D'!A23</f>
        <v>Enbridge Inc</v>
      </c>
      <c r="C49" s="89" t="str">
        <f>+'S&amp;D'!B23</f>
        <v>ENB.TO</v>
      </c>
      <c r="D49" s="59">
        <f>'S&amp;D'!G23</f>
        <v>52.92</v>
      </c>
      <c r="E49" s="403">
        <v>4.5999999999999996</v>
      </c>
      <c r="F49" s="71">
        <f t="shared" si="12"/>
        <v>11.504347826086958</v>
      </c>
      <c r="G49" s="56">
        <f t="shared" si="13"/>
        <v>8.6923658352229774E-2</v>
      </c>
    </row>
    <row r="50" spans="1:7" ht="15.75">
      <c r="A50" s="62" t="str">
        <f>+'S&amp;D'!A24</f>
        <v>Energy Transfer LP</v>
      </c>
      <c r="C50" s="89" t="str">
        <f>+'S&amp;D'!B24</f>
        <v>ET</v>
      </c>
      <c r="D50" s="59">
        <f>'S&amp;D'!G24</f>
        <v>11.87</v>
      </c>
      <c r="E50" s="403">
        <v>2.35</v>
      </c>
      <c r="F50" s="71">
        <f t="shared" si="12"/>
        <v>5.0510638297872337</v>
      </c>
      <c r="G50" s="56">
        <f t="shared" si="13"/>
        <v>0.19797809604043809</v>
      </c>
    </row>
    <row r="51" spans="1:7" ht="15.75">
      <c r="A51" s="62" t="str">
        <f>+'S&amp;D'!A25</f>
        <v>Enlink Midstream LLC</v>
      </c>
      <c r="C51" s="89" t="str">
        <f>+'S&amp;D'!B25</f>
        <v>ENLC</v>
      </c>
      <c r="D51" s="59">
        <f>'S&amp;D'!G25</f>
        <v>12.3</v>
      </c>
      <c r="E51" s="403">
        <v>0.85</v>
      </c>
      <c r="F51" s="71">
        <f t="shared" si="12"/>
        <v>14.47058823529412</v>
      </c>
      <c r="G51" s="56">
        <f t="shared" si="13"/>
        <v>6.9105691056910556E-2</v>
      </c>
    </row>
    <row r="52" spans="1:7" ht="15.75">
      <c r="A52" s="62" t="str">
        <f>+'S&amp;D'!A26</f>
        <v>Enterprise Products Partnership LP</v>
      </c>
      <c r="C52" s="89" t="str">
        <f>+'S&amp;D'!B26</f>
        <v>EPD</v>
      </c>
      <c r="D52" s="59">
        <f>'S&amp;D'!G26</f>
        <v>24.12</v>
      </c>
      <c r="E52" s="403">
        <v>3.15</v>
      </c>
      <c r="F52" s="71">
        <f t="shared" si="12"/>
        <v>7.6571428571428575</v>
      </c>
      <c r="G52" s="56">
        <f t="shared" si="13"/>
        <v>0.13059701492537312</v>
      </c>
    </row>
    <row r="53" spans="1:7" ht="15.75">
      <c r="A53" s="62" t="str">
        <f>+'S&amp;D'!A27</f>
        <v>Kinder Morgan Inc</v>
      </c>
      <c r="C53" s="89" t="str">
        <f>+'S&amp;D'!B27</f>
        <v>KMI</v>
      </c>
      <c r="D53" s="59">
        <f>'S&amp;D'!G27</f>
        <v>18.079999999999998</v>
      </c>
      <c r="E53" s="403">
        <v>1.8</v>
      </c>
      <c r="F53" s="71">
        <f t="shared" si="12"/>
        <v>10.044444444444443</v>
      </c>
      <c r="G53" s="56">
        <f t="shared" si="13"/>
        <v>9.9557522123893821E-2</v>
      </c>
    </row>
    <row r="54" spans="1:7" ht="15.75">
      <c r="A54" s="62" t="str">
        <f>+'S&amp;D'!A28</f>
        <v>ONEOK Inc</v>
      </c>
      <c r="C54" s="89" t="str">
        <f>+'S&amp;D'!B28</f>
        <v>OKE</v>
      </c>
      <c r="D54" s="59">
        <f>'S&amp;D'!G28</f>
        <v>65.7</v>
      </c>
      <c r="E54" s="403">
        <v>6.5</v>
      </c>
      <c r="F54" s="71">
        <f t="shared" si="12"/>
        <v>10.107692307692307</v>
      </c>
      <c r="G54" s="56">
        <f t="shared" si="13"/>
        <v>9.8934550989345518E-2</v>
      </c>
    </row>
    <row r="55" spans="1:7" ht="15.75">
      <c r="A55" s="62" t="str">
        <f>+'S&amp;D'!A29</f>
        <v>TC Energy Corp</v>
      </c>
      <c r="C55" s="89" t="str">
        <f>+'S&amp;D'!B29</f>
        <v>TRP</v>
      </c>
      <c r="D55" s="59">
        <f>'S&amp;D'!G29</f>
        <v>39.86</v>
      </c>
      <c r="E55" s="403">
        <v>4.75</v>
      </c>
      <c r="F55" s="71">
        <f t="shared" si="12"/>
        <v>8.391578947368421</v>
      </c>
      <c r="G55" s="56">
        <f t="shared" si="13"/>
        <v>0.11916708479678877</v>
      </c>
    </row>
    <row r="56" spans="1:7" ht="15.75">
      <c r="A56" s="62" t="str">
        <f>+'S&amp;D'!A30</f>
        <v>Williams Companys Inc</v>
      </c>
      <c r="C56" s="89" t="str">
        <f>+'S&amp;D'!B30</f>
        <v>WMB</v>
      </c>
      <c r="D56" s="59">
        <f>'S&amp;D'!G30</f>
        <v>32.9</v>
      </c>
      <c r="E56" s="403">
        <v>2.4</v>
      </c>
      <c r="F56" s="71">
        <f t="shared" si="12"/>
        <v>13.708333333333334</v>
      </c>
      <c r="G56" s="56">
        <f t="shared" si="13"/>
        <v>7.29483282674772E-2</v>
      </c>
    </row>
    <row r="57" spans="1:7" ht="15.75" thickBot="1">
      <c r="A57" s="12"/>
      <c r="D57" s="69"/>
      <c r="E57" s="69"/>
      <c r="F57" s="69"/>
      <c r="G57" s="69"/>
    </row>
    <row r="58" spans="1:7" ht="15.75" thickTop="1">
      <c r="A58" s="12"/>
      <c r="D58" s="14" t="s">
        <v>46</v>
      </c>
      <c r="E58" s="70">
        <v>6.5</v>
      </c>
      <c r="F58" s="70">
        <v>14.47</v>
      </c>
      <c r="G58" s="326">
        <v>0.19800000000000001</v>
      </c>
    </row>
    <row r="59" spans="1:7">
      <c r="A59" s="12"/>
      <c r="D59" s="14" t="s">
        <v>47</v>
      </c>
      <c r="E59" s="359">
        <v>0.85</v>
      </c>
      <c r="F59" s="359">
        <v>5.05</v>
      </c>
      <c r="G59" s="352">
        <v>6.9099999999999995E-2</v>
      </c>
    </row>
    <row r="60" spans="1:7">
      <c r="A60" s="12"/>
      <c r="D60" s="14" t="s">
        <v>18</v>
      </c>
      <c r="E60" s="71">
        <f>MEDIAN(E48:E56)</f>
        <v>3.15</v>
      </c>
      <c r="F60" s="21">
        <f>MEDIAN(F48:F56)</f>
        <v>10.107692307692307</v>
      </c>
      <c r="G60" s="56">
        <f>MEDIAN(G48:G56)</f>
        <v>9.8934550989345518E-2</v>
      </c>
    </row>
    <row r="61" spans="1:7">
      <c r="A61" s="12"/>
      <c r="D61" s="14" t="s">
        <v>460</v>
      </c>
      <c r="E61" s="17">
        <f>AVERAGE(E48:E56)</f>
        <v>3.3499999999999996</v>
      </c>
      <c r="F61" s="21">
        <f>AVERAGE(F48:F56)</f>
        <v>10.142132420127741</v>
      </c>
      <c r="G61" s="72">
        <f>AVERAGE(G48:G56)</f>
        <v>0.10798737190790811</v>
      </c>
    </row>
    <row r="62" spans="1:7">
      <c r="A62" s="12"/>
      <c r="C62" s="12"/>
      <c r="D62" s="12"/>
      <c r="E62" s="12"/>
      <c r="F62" s="12"/>
      <c r="G62" s="12"/>
    </row>
    <row r="63" spans="1:7" ht="20.25">
      <c r="A63" s="12"/>
      <c r="C63" s="12"/>
      <c r="D63" s="12"/>
      <c r="E63" s="76" t="s">
        <v>75</v>
      </c>
      <c r="F63" s="331">
        <v>10.14</v>
      </c>
      <c r="G63" s="328">
        <v>0.108</v>
      </c>
    </row>
  </sheetData>
  <pageMargins left="0.25" right="0.25" top="0.75" bottom="0.75" header="0.3" footer="0.3"/>
  <pageSetup scale="3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15"/>
  <sheetViews>
    <sheetView view="pageBreakPreview" topLeftCell="A8" zoomScale="60" zoomScaleNormal="80" workbookViewId="0">
      <selection activeCell="G28" sqref="G28"/>
    </sheetView>
  </sheetViews>
  <sheetFormatPr defaultRowHeight="15"/>
  <cols>
    <col min="1" max="1" width="62.4257812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0.25">
      <c r="A1" s="23" t="s">
        <v>1</v>
      </c>
      <c r="C1" s="23"/>
      <c r="D1" s="23"/>
      <c r="E1" s="12"/>
      <c r="F1" s="12"/>
      <c r="G1" s="12"/>
      <c r="H1" s="12"/>
      <c r="I1" s="12"/>
      <c r="J1" s="12"/>
      <c r="K1" s="12"/>
    </row>
    <row r="2" spans="1:11" ht="15.75">
      <c r="A2" s="24" t="s">
        <v>9</v>
      </c>
      <c r="C2" s="24"/>
      <c r="D2" s="24"/>
      <c r="E2" s="12"/>
      <c r="F2" s="12"/>
      <c r="G2" s="12"/>
      <c r="H2" s="12"/>
      <c r="I2" s="12"/>
      <c r="J2" s="12"/>
      <c r="K2" s="12"/>
    </row>
    <row r="3" spans="1:11">
      <c r="A3" s="25" t="s">
        <v>63</v>
      </c>
      <c r="C3" s="25"/>
      <c r="D3" s="25"/>
      <c r="E3" s="12"/>
      <c r="F3" s="12"/>
      <c r="G3" s="12"/>
      <c r="H3" s="12"/>
      <c r="I3" s="12"/>
      <c r="J3" s="12"/>
      <c r="K3" s="12"/>
    </row>
    <row r="4" spans="1:11">
      <c r="B4" s="25"/>
      <c r="C4" s="25"/>
      <c r="D4" s="25"/>
      <c r="E4" s="12"/>
      <c r="F4" s="12"/>
      <c r="G4" s="12"/>
      <c r="H4" s="12"/>
      <c r="I4" s="12"/>
      <c r="J4" s="12"/>
      <c r="K4" s="12"/>
    </row>
    <row r="5" spans="1:11">
      <c r="B5" s="12"/>
      <c r="C5" s="12"/>
      <c r="D5" s="12"/>
      <c r="E5" s="12"/>
      <c r="F5" s="12"/>
      <c r="G5" s="12"/>
      <c r="H5" s="12"/>
      <c r="I5" s="26" t="s">
        <v>0</v>
      </c>
      <c r="J5" s="26"/>
      <c r="K5" s="12"/>
    </row>
    <row r="6" spans="1:11" ht="15.75" thickBot="1">
      <c r="B6" s="12"/>
      <c r="C6" s="12"/>
      <c r="D6" s="28"/>
      <c r="E6" s="28"/>
      <c r="F6" s="157"/>
      <c r="H6" s="12"/>
      <c r="I6" s="12"/>
      <c r="J6" s="12"/>
      <c r="K6" s="12"/>
    </row>
    <row r="7" spans="1:11" ht="21" thickBot="1">
      <c r="A7" s="27" t="str">
        <f>+'S&amp;D'!A12</f>
        <v>Natural Gas Transmission Pipeline Carrier</v>
      </c>
      <c r="C7" s="30"/>
      <c r="D7" s="30"/>
      <c r="E7" s="31" t="s">
        <v>262</v>
      </c>
      <c r="H7" s="12"/>
      <c r="I7" s="12"/>
      <c r="J7" s="12"/>
      <c r="K7" s="12"/>
    </row>
    <row r="8" spans="1:11" ht="18.75" thickBot="1">
      <c r="B8" s="30"/>
      <c r="C8" s="30"/>
      <c r="D8" s="158"/>
      <c r="E8" s="36" t="s">
        <v>77</v>
      </c>
      <c r="F8" s="157"/>
      <c r="H8" s="12"/>
      <c r="I8" s="12"/>
      <c r="J8" s="12"/>
      <c r="K8" s="12"/>
    </row>
    <row r="9" spans="1:11" ht="18">
      <c r="B9" s="30"/>
      <c r="C9" s="30"/>
      <c r="D9" s="30"/>
      <c r="E9" s="34"/>
      <c r="H9" s="12"/>
      <c r="I9" s="12"/>
      <c r="J9" s="12"/>
      <c r="K9" s="12"/>
    </row>
    <row r="10" spans="1:11" ht="18.75" thickBot="1">
      <c r="A10" s="158"/>
      <c r="B10" s="30"/>
      <c r="I10" s="12"/>
      <c r="J10" s="12"/>
      <c r="K10" s="12"/>
    </row>
    <row r="11" spans="1:11" ht="22.5" customHeight="1" thickBot="1">
      <c r="A11" s="170" t="s">
        <v>256</v>
      </c>
      <c r="B11" s="30"/>
      <c r="I11" s="12"/>
      <c r="J11" s="12"/>
      <c r="K11" s="12"/>
    </row>
    <row r="12" spans="1:11" ht="26.25" customHeight="1" thickBot="1">
      <c r="A12" s="169" t="s">
        <v>0</v>
      </c>
      <c r="B12" s="12"/>
      <c r="C12" s="12"/>
      <c r="D12" s="12"/>
      <c r="E12" s="12"/>
      <c r="F12" s="12"/>
      <c r="G12" s="12"/>
      <c r="H12" s="12"/>
      <c r="I12" s="12"/>
      <c r="J12" s="12"/>
      <c r="K12" s="12"/>
    </row>
    <row r="13" spans="1:11" ht="66.75" customHeight="1" thickBot="1">
      <c r="A13" s="238" t="s">
        <v>281</v>
      </c>
      <c r="B13" s="164" t="s">
        <v>326</v>
      </c>
      <c r="C13" s="164" t="s">
        <v>291</v>
      </c>
      <c r="D13" s="164" t="s">
        <v>290</v>
      </c>
      <c r="I13" s="12"/>
      <c r="J13" s="12"/>
      <c r="K13" s="12"/>
    </row>
    <row r="14" spans="1:11">
      <c r="A14" s="159"/>
      <c r="B14" s="224"/>
      <c r="C14" s="224"/>
      <c r="D14" s="224"/>
      <c r="I14" s="12"/>
      <c r="J14" s="12"/>
      <c r="K14" s="12"/>
    </row>
    <row r="15" spans="1:11" ht="18">
      <c r="A15" s="168" t="str">
        <f>+A7</f>
        <v>Natural Gas Transmission Pipeline Carrier</v>
      </c>
      <c r="B15" s="249">
        <v>7.0000000000000007E-2</v>
      </c>
      <c r="C15" s="249">
        <f>+'Dividends '!K28</f>
        <v>6.6858844343088961E-2</v>
      </c>
      <c r="D15" s="249">
        <f>+Earnings!K28</f>
        <v>0.11413674954226034</v>
      </c>
      <c r="I15" s="12"/>
      <c r="J15" s="12"/>
      <c r="K15" s="12"/>
    </row>
    <row r="16" spans="1:11" ht="18.75" thickBot="1">
      <c r="A16" s="161" t="s">
        <v>0</v>
      </c>
      <c r="B16" s="225" t="s">
        <v>0</v>
      </c>
      <c r="C16" s="276">
        <f>+'Dividends '!K29</f>
        <v>7.3667619312534474E-2</v>
      </c>
      <c r="D16" s="276">
        <f>+Earnings!K29</f>
        <v>0.10237404526645616</v>
      </c>
      <c r="I16" s="12"/>
      <c r="J16" s="12"/>
      <c r="K16" s="12"/>
    </row>
    <row r="17" spans="1:11" ht="18">
      <c r="A17" s="236"/>
      <c r="B17" s="237"/>
      <c r="I17" s="12"/>
      <c r="J17" s="12"/>
      <c r="K17" s="12"/>
    </row>
    <row r="18" spans="1:11">
      <c r="A18" s="12"/>
      <c r="B18" s="12"/>
      <c r="C18" s="12"/>
      <c r="D18" s="12"/>
      <c r="E18" s="12"/>
      <c r="F18" s="12"/>
      <c r="G18" s="12"/>
      <c r="H18" s="12"/>
      <c r="I18" s="12"/>
      <c r="J18" s="12"/>
      <c r="K18" s="12"/>
    </row>
    <row r="19" spans="1:11" ht="15.75" thickBot="1">
      <c r="A19" s="12"/>
      <c r="B19" s="12"/>
      <c r="C19" s="12"/>
      <c r="D19" s="12"/>
      <c r="E19" s="12"/>
      <c r="F19" s="12"/>
      <c r="G19" s="12"/>
      <c r="H19" s="12"/>
      <c r="I19" s="12"/>
      <c r="J19" s="12"/>
      <c r="K19" s="12"/>
    </row>
    <row r="20" spans="1:11" ht="18.75" thickBot="1">
      <c r="A20" s="170" t="s">
        <v>280</v>
      </c>
      <c r="B20" s="30"/>
      <c r="I20" s="12"/>
      <c r="J20" s="12"/>
      <c r="K20" s="12"/>
    </row>
    <row r="21" spans="1:11" ht="16.5" thickBot="1">
      <c r="A21" s="169" t="s">
        <v>0</v>
      </c>
      <c r="B21" s="12"/>
      <c r="C21" s="12"/>
      <c r="D21" s="12"/>
      <c r="E21" s="12"/>
      <c r="F21" s="12"/>
      <c r="G21" s="12"/>
      <c r="H21" s="12"/>
      <c r="I21" s="12"/>
      <c r="J21" s="12"/>
      <c r="K21" s="12"/>
    </row>
    <row r="22" spans="1:11" ht="64.5" customHeight="1" thickBot="1">
      <c r="A22" s="238" t="s">
        <v>282</v>
      </c>
      <c r="B22" s="164" t="s">
        <v>325</v>
      </c>
      <c r="C22" s="163" t="s">
        <v>234</v>
      </c>
      <c r="D22" s="164" t="s">
        <v>235</v>
      </c>
      <c r="E22" s="164" t="s">
        <v>236</v>
      </c>
      <c r="F22" s="164" t="s">
        <v>326</v>
      </c>
      <c r="G22" s="277" t="s">
        <v>18</v>
      </c>
      <c r="H22" s="277" t="s">
        <v>19</v>
      </c>
      <c r="I22" s="12"/>
      <c r="J22" s="12"/>
      <c r="K22" s="12"/>
    </row>
    <row r="23" spans="1:11">
      <c r="A23" s="159"/>
      <c r="B23" s="224"/>
      <c r="C23" s="111"/>
      <c r="D23" s="224"/>
      <c r="E23" s="111"/>
      <c r="F23" s="224"/>
      <c r="G23" s="364"/>
      <c r="H23" s="172"/>
      <c r="I23" s="12"/>
      <c r="J23" s="12"/>
      <c r="K23" s="12"/>
    </row>
    <row r="24" spans="1:11" ht="18">
      <c r="A24" s="168" t="str">
        <f>+A7</f>
        <v>Natural Gas Transmission Pipeline Carrier</v>
      </c>
      <c r="B24" s="249">
        <v>8.5000000000000006E-2</v>
      </c>
      <c r="C24" s="362">
        <v>0.08</v>
      </c>
      <c r="D24" s="249">
        <v>4.4999999999999998E-2</v>
      </c>
      <c r="E24" s="362">
        <v>5.45E-2</v>
      </c>
      <c r="F24" s="249">
        <v>5.6000000000000001E-2</v>
      </c>
      <c r="G24" s="365">
        <f>MEDIAN(B24:F24)</f>
        <v>5.6000000000000001E-2</v>
      </c>
      <c r="H24" s="272">
        <f t="shared" ref="H24" si="0">AVERAGE(B24:F24)</f>
        <v>6.4100000000000004E-2</v>
      </c>
      <c r="I24" s="12"/>
      <c r="J24" s="12"/>
      <c r="K24" s="12"/>
    </row>
    <row r="25" spans="1:11" ht="18.75" thickBot="1">
      <c r="A25" s="360" t="s">
        <v>0</v>
      </c>
      <c r="B25" s="225" t="s">
        <v>0</v>
      </c>
      <c r="C25" s="363" t="s">
        <v>0</v>
      </c>
      <c r="D25" s="225" t="s">
        <v>0</v>
      </c>
      <c r="E25" s="363" t="s">
        <v>0</v>
      </c>
      <c r="F25" s="225" t="s">
        <v>0</v>
      </c>
      <c r="G25" s="339"/>
      <c r="H25" s="171"/>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t="s">
        <v>0</v>
      </c>
      <c r="C28" s="12"/>
      <c r="D28" s="12"/>
      <c r="E28" s="12"/>
      <c r="F28" s="12"/>
      <c r="G28" s="12"/>
      <c r="H28" s="12"/>
      <c r="I28" s="12"/>
      <c r="J28" s="12"/>
      <c r="K28" s="12"/>
    </row>
    <row r="29" spans="1:11" ht="15.75" thickBot="1">
      <c r="A29" s="12"/>
      <c r="B29" s="12"/>
      <c r="C29" s="12"/>
      <c r="D29" s="12"/>
      <c r="E29" s="12"/>
      <c r="F29" s="12"/>
      <c r="G29" s="12"/>
      <c r="H29" s="12"/>
      <c r="I29" s="12"/>
      <c r="J29" s="12"/>
      <c r="K29" s="12"/>
    </row>
    <row r="30" spans="1:11" ht="18.75" customHeight="1" thickBot="1">
      <c r="A30" s="170" t="s">
        <v>258</v>
      </c>
      <c r="B30" s="12"/>
      <c r="C30" s="12"/>
      <c r="D30" s="12"/>
      <c r="E30" s="12"/>
      <c r="F30" s="12"/>
      <c r="G30" s="12"/>
      <c r="H30" s="12"/>
      <c r="I30" s="12"/>
      <c r="J30" s="12"/>
      <c r="K30" s="12"/>
    </row>
    <row r="31" spans="1:11" ht="15" customHeight="1">
      <c r="A31" s="12"/>
      <c r="B31" s="12"/>
      <c r="C31" s="12"/>
      <c r="D31" s="12"/>
      <c r="E31" s="12"/>
      <c r="F31" s="12"/>
      <c r="G31" s="12"/>
      <c r="H31" s="12"/>
      <c r="I31" s="12"/>
      <c r="J31" s="12"/>
      <c r="K31" s="12"/>
    </row>
    <row r="32" spans="1:11" ht="15" customHeight="1">
      <c r="A32" s="12"/>
      <c r="B32" s="12"/>
      <c r="C32" s="12"/>
      <c r="D32" s="12"/>
      <c r="E32" s="12"/>
      <c r="F32" s="12"/>
      <c r="G32" s="12"/>
      <c r="H32" s="12"/>
      <c r="I32" s="12"/>
      <c r="J32" s="12"/>
      <c r="K32" s="12"/>
    </row>
    <row r="33" spans="1:11" ht="23.25" customHeight="1">
      <c r="A33" s="367">
        <v>1.66E-2</v>
      </c>
      <c r="B33" s="30" t="s">
        <v>501</v>
      </c>
      <c r="C33" s="12"/>
      <c r="E33" s="213" t="s">
        <v>0</v>
      </c>
      <c r="F33" s="12"/>
      <c r="G33" s="12"/>
      <c r="H33" s="12"/>
      <c r="I33" s="12"/>
      <c r="J33" s="12"/>
      <c r="K33" s="12"/>
    </row>
    <row r="34" spans="1:11" ht="23.25" customHeight="1">
      <c r="A34" s="227"/>
      <c r="B34" s="12" t="s">
        <v>306</v>
      </c>
      <c r="C34" s="12"/>
      <c r="D34" s="12"/>
      <c r="E34" s="12"/>
      <c r="F34" s="12"/>
      <c r="G34" s="12"/>
      <c r="H34" s="12"/>
      <c r="I34" s="12"/>
      <c r="J34" s="12"/>
      <c r="K34" s="12"/>
    </row>
    <row r="35" spans="1:11" ht="23.25" customHeight="1">
      <c r="A35" s="227"/>
      <c r="B35" s="154" t="s">
        <v>305</v>
      </c>
      <c r="C35" s="12"/>
      <c r="D35" s="12"/>
      <c r="E35" s="12"/>
      <c r="F35" s="12"/>
      <c r="G35" s="12"/>
      <c r="H35" s="12"/>
      <c r="I35" s="12"/>
      <c r="J35" s="12"/>
      <c r="K35" s="12"/>
    </row>
    <row r="36" spans="1:11" ht="23.25" customHeight="1">
      <c r="A36" s="367">
        <v>1.7999999999999999E-2</v>
      </c>
      <c r="B36" s="30" t="s">
        <v>259</v>
      </c>
      <c r="C36" s="12"/>
      <c r="D36" s="12"/>
      <c r="E36" s="12"/>
      <c r="F36" s="12"/>
      <c r="G36" s="12"/>
      <c r="H36" s="12"/>
      <c r="I36" s="12"/>
      <c r="J36" s="12"/>
      <c r="K36" s="12"/>
    </row>
    <row r="37" spans="1:11" ht="23.25" customHeight="1">
      <c r="A37" s="226"/>
      <c r="B37" s="228" t="s">
        <v>502</v>
      </c>
      <c r="C37" s="12"/>
      <c r="D37" s="12"/>
      <c r="E37" s="12"/>
      <c r="F37" s="12"/>
      <c r="G37" s="12"/>
      <c r="H37" s="12"/>
      <c r="I37" s="12"/>
      <c r="J37" s="12"/>
      <c r="K37" s="12"/>
    </row>
    <row r="38" spans="1:11" ht="23.25" customHeight="1">
      <c r="A38" s="226"/>
      <c r="B38" s="154" t="s">
        <v>503</v>
      </c>
      <c r="C38" s="12"/>
      <c r="D38" s="12"/>
      <c r="E38" s="12"/>
      <c r="F38" s="12"/>
      <c r="G38" s="12"/>
      <c r="H38" s="12"/>
      <c r="I38" s="12"/>
      <c r="J38" s="12"/>
      <c r="K38" s="12"/>
    </row>
    <row r="39" spans="1:11" ht="23.25" customHeight="1">
      <c r="A39" s="367" t="s">
        <v>423</v>
      </c>
      <c r="B39" s="30" t="s">
        <v>260</v>
      </c>
      <c r="C39" s="12"/>
      <c r="D39" s="12"/>
      <c r="E39" s="12"/>
      <c r="F39" s="12"/>
      <c r="G39" s="12"/>
      <c r="H39" s="12"/>
      <c r="I39" s="12"/>
      <c r="J39" s="12"/>
      <c r="K39" s="12"/>
    </row>
    <row r="40" spans="1:11" ht="23.25" customHeight="1">
      <c r="A40" s="226"/>
      <c r="B40" s="12" t="s">
        <v>504</v>
      </c>
      <c r="C40" s="12"/>
      <c r="D40" s="12"/>
      <c r="E40" s="12"/>
      <c r="F40" s="12"/>
      <c r="G40" s="12"/>
      <c r="H40" s="12"/>
      <c r="I40" s="12"/>
      <c r="J40" s="12"/>
      <c r="K40" s="12"/>
    </row>
    <row r="41" spans="1:11" ht="23.25" customHeight="1">
      <c r="A41" s="226"/>
      <c r="B41" s="154" t="s">
        <v>324</v>
      </c>
      <c r="C41" s="12"/>
      <c r="D41" s="12"/>
      <c r="E41" s="12"/>
      <c r="F41" s="12"/>
      <c r="G41" s="12"/>
      <c r="H41" s="12"/>
      <c r="I41" s="12"/>
      <c r="J41" s="12"/>
      <c r="K41" s="12"/>
    </row>
    <row r="42" spans="1:11" ht="23.25" customHeight="1">
      <c r="A42" s="455">
        <v>1.9E-2</v>
      </c>
      <c r="B42" s="30" t="s">
        <v>505</v>
      </c>
      <c r="C42" s="12"/>
      <c r="D42" s="12"/>
      <c r="E42" s="12"/>
      <c r="F42" s="12"/>
      <c r="G42" s="12"/>
      <c r="H42" s="12"/>
      <c r="I42" s="12"/>
      <c r="J42" s="12"/>
      <c r="K42" s="12"/>
    </row>
    <row r="43" spans="1:11" ht="23.25" customHeight="1">
      <c r="A43" s="226"/>
      <c r="B43" s="12" t="s">
        <v>506</v>
      </c>
      <c r="C43" s="12"/>
      <c r="D43" s="12"/>
      <c r="E43" s="12"/>
      <c r="F43" s="12"/>
      <c r="G43" s="12"/>
      <c r="H43" s="12"/>
      <c r="I43" s="12"/>
      <c r="J43" s="12"/>
      <c r="K43" s="12"/>
    </row>
    <row r="44" spans="1:11" ht="23.25" customHeight="1">
      <c r="A44" s="226"/>
      <c r="B44" s="154" t="s">
        <v>323</v>
      </c>
      <c r="C44" s="12"/>
      <c r="D44" s="12"/>
      <c r="E44" s="12"/>
      <c r="F44" s="12"/>
      <c r="G44" s="12"/>
      <c r="H44" s="12"/>
      <c r="I44" s="12"/>
      <c r="J44" s="12"/>
      <c r="K44" s="12"/>
    </row>
    <row r="45" spans="1:11" ht="23.25" customHeight="1">
      <c r="A45" s="367">
        <v>1.4999999999999999E-2</v>
      </c>
      <c r="B45" s="30" t="s">
        <v>261</v>
      </c>
      <c r="C45" s="12"/>
      <c r="D45" s="12"/>
      <c r="E45" s="12"/>
      <c r="F45" s="12"/>
      <c r="G45" s="12"/>
      <c r="H45" s="12"/>
      <c r="I45" s="12"/>
      <c r="J45" s="12"/>
      <c r="K45" s="12"/>
    </row>
    <row r="46" spans="1:11" ht="23.25" customHeight="1">
      <c r="A46" s="226"/>
      <c r="B46" s="12" t="s">
        <v>507</v>
      </c>
      <c r="C46" s="12"/>
      <c r="D46" s="12"/>
      <c r="E46" s="12"/>
      <c r="F46" s="12"/>
      <c r="G46" s="12"/>
      <c r="H46" s="12"/>
      <c r="I46" s="12"/>
      <c r="J46" s="12"/>
      <c r="K46" s="12"/>
    </row>
    <row r="47" spans="1:11" ht="23.25" customHeight="1">
      <c r="A47" s="226"/>
      <c r="B47" s="154" t="s">
        <v>508</v>
      </c>
      <c r="C47" s="12"/>
      <c r="D47" s="12"/>
      <c r="E47" s="12"/>
      <c r="F47" s="12"/>
      <c r="G47" s="12"/>
      <c r="H47" s="12"/>
      <c r="I47" s="12"/>
      <c r="J47" s="12"/>
      <c r="K47" s="12"/>
    </row>
    <row r="48" spans="1:11" ht="23.25" customHeight="1">
      <c r="A48" s="226" t="s">
        <v>0</v>
      </c>
      <c r="C48" s="12"/>
      <c r="D48" s="12"/>
      <c r="E48" s="12"/>
      <c r="F48" s="12"/>
      <c r="G48" s="12"/>
      <c r="H48" s="12"/>
      <c r="I48" s="12"/>
      <c r="J48" s="12"/>
      <c r="K48" s="12"/>
    </row>
    <row r="49" spans="1:11" ht="18" customHeight="1">
      <c r="A49" s="366" t="s">
        <v>275</v>
      </c>
      <c r="C49" s="12"/>
      <c r="D49" s="12"/>
      <c r="E49" s="12"/>
      <c r="F49" s="12"/>
      <c r="G49" s="12"/>
      <c r="H49" s="12"/>
      <c r="I49" s="12"/>
      <c r="J49" s="12"/>
      <c r="K49" s="12"/>
    </row>
    <row r="50" spans="1:11" ht="18" customHeight="1">
      <c r="A50" s="30" t="s">
        <v>276</v>
      </c>
      <c r="B50" s="12"/>
      <c r="C50" s="12"/>
      <c r="D50" s="12"/>
      <c r="E50" s="12"/>
      <c r="H50" s="12"/>
      <c r="I50" s="12"/>
      <c r="J50" s="12"/>
      <c r="K50" s="12"/>
    </row>
    <row r="51" spans="1:11" ht="15" customHeight="1">
      <c r="A51" s="154" t="s">
        <v>277</v>
      </c>
      <c r="B51" s="12"/>
      <c r="C51" s="12"/>
      <c r="D51" s="12"/>
      <c r="E51" s="12"/>
      <c r="F51" s="12"/>
      <c r="G51" s="12"/>
      <c r="H51" s="12"/>
      <c r="I51" s="12"/>
      <c r="J51" s="12"/>
      <c r="K51" s="12"/>
    </row>
    <row r="52" spans="1:11" ht="15" customHeight="1">
      <c r="A52" s="154"/>
      <c r="B52" s="12"/>
      <c r="C52" s="12"/>
      <c r="D52" s="12"/>
      <c r="E52" s="12"/>
      <c r="F52" s="12"/>
      <c r="G52" s="12" t="s">
        <v>0</v>
      </c>
      <c r="H52" s="12" t="s">
        <v>0</v>
      </c>
      <c r="I52" s="12"/>
      <c r="J52" s="12"/>
      <c r="K52" s="12"/>
    </row>
    <row r="53" spans="1:11" ht="15" customHeight="1">
      <c r="A53" s="12"/>
      <c r="B53" s="12"/>
      <c r="C53" s="12"/>
      <c r="D53" s="12"/>
      <c r="E53" s="12"/>
      <c r="F53" s="12"/>
      <c r="G53" s="12" t="s">
        <v>0</v>
      </c>
      <c r="H53" s="12"/>
      <c r="I53" s="12"/>
      <c r="J53" s="12"/>
      <c r="K53" s="12"/>
    </row>
    <row r="54" spans="1:11" ht="15.75" customHeight="1" thickBot="1">
      <c r="A54" s="12"/>
      <c r="B54" s="12"/>
      <c r="C54" s="12"/>
      <c r="D54" s="12"/>
      <c r="E54" s="12"/>
      <c r="F54" s="12"/>
      <c r="G54" s="12" t="s">
        <v>0</v>
      </c>
      <c r="H54" s="12"/>
      <c r="I54" s="12"/>
      <c r="J54" s="12"/>
      <c r="K54" s="12"/>
    </row>
    <row r="55" spans="1:11" ht="18.75" customHeight="1" thickBot="1">
      <c r="A55" s="170" t="s">
        <v>257</v>
      </c>
      <c r="B55" s="43" t="s">
        <v>408</v>
      </c>
      <c r="C55" s="12"/>
      <c r="D55" s="12"/>
      <c r="E55" s="12"/>
      <c r="F55" s="12"/>
      <c r="G55" s="12"/>
      <c r="H55" s="12"/>
      <c r="I55" s="12"/>
      <c r="J55" s="12"/>
      <c r="K55" s="12"/>
    </row>
    <row r="56" spans="1:11" ht="15" customHeight="1">
      <c r="A56" s="12"/>
      <c r="B56" s="12"/>
      <c r="C56" s="12"/>
      <c r="D56" s="12"/>
      <c r="E56" s="12"/>
      <c r="F56" s="12"/>
      <c r="G56" s="372" t="s">
        <v>415</v>
      </c>
      <c r="H56" s="373" t="s">
        <v>422</v>
      </c>
      <c r="I56" s="12"/>
      <c r="J56" s="12"/>
      <c r="K56" s="12"/>
    </row>
    <row r="57" spans="1:11" ht="23.25" customHeight="1">
      <c r="A57" s="367">
        <v>2.3E-2</v>
      </c>
      <c r="B57" s="30" t="s">
        <v>409</v>
      </c>
      <c r="C57" s="12"/>
      <c r="E57" s="12"/>
      <c r="G57" s="374" t="s">
        <v>416</v>
      </c>
      <c r="H57" s="375" t="s">
        <v>417</v>
      </c>
      <c r="I57" s="12"/>
      <c r="J57" s="12"/>
      <c r="K57" s="12"/>
    </row>
    <row r="58" spans="1:11" ht="23.25" customHeight="1">
      <c r="A58" s="367">
        <v>2.53E-2</v>
      </c>
      <c r="B58" s="30" t="s">
        <v>410</v>
      </c>
      <c r="C58" s="12"/>
      <c r="E58" s="12"/>
      <c r="G58" s="374" t="s">
        <v>418</v>
      </c>
      <c r="H58" s="375" t="s">
        <v>419</v>
      </c>
      <c r="I58" s="12"/>
      <c r="J58" s="12"/>
      <c r="K58" s="12"/>
    </row>
    <row r="59" spans="1:11" ht="23.25" customHeight="1">
      <c r="A59" s="367">
        <v>2.3099999999999999E-2</v>
      </c>
      <c r="B59" s="30" t="s">
        <v>411</v>
      </c>
      <c r="C59" s="12"/>
      <c r="D59" s="12"/>
      <c r="E59" s="12"/>
      <c r="G59" s="376" t="s">
        <v>420</v>
      </c>
      <c r="H59" s="377" t="s">
        <v>421</v>
      </c>
      <c r="I59" s="12"/>
      <c r="J59" s="12"/>
      <c r="K59" s="12"/>
    </row>
    <row r="60" spans="1:11" ht="23.25" customHeight="1">
      <c r="A60" s="367"/>
      <c r="B60" s="30"/>
      <c r="C60" s="12"/>
      <c r="D60" s="12"/>
      <c r="E60" s="12"/>
      <c r="G60" s="14"/>
      <c r="H60" s="155"/>
      <c r="I60" s="12"/>
      <c r="J60" s="12"/>
      <c r="K60" s="12"/>
    </row>
    <row r="61" spans="1:11" ht="18.75" customHeight="1">
      <c r="A61" s="368" t="s">
        <v>509</v>
      </c>
      <c r="B61" s="30"/>
      <c r="C61" s="12"/>
      <c r="D61" s="12"/>
      <c r="E61" s="12"/>
      <c r="F61" s="361"/>
      <c r="G61" s="85"/>
      <c r="H61" s="12"/>
      <c r="I61" s="12"/>
      <c r="J61" s="12"/>
      <c r="K61" s="12"/>
    </row>
    <row r="62" spans="1:11" ht="23.25" customHeight="1">
      <c r="A62" s="367"/>
      <c r="B62" s="30"/>
      <c r="C62" s="12"/>
      <c r="D62" s="12"/>
      <c r="E62" s="12"/>
      <c r="F62" s="361"/>
      <c r="G62" s="85"/>
      <c r="H62" s="12"/>
      <c r="I62" s="12"/>
      <c r="J62" s="12"/>
      <c r="K62" s="12"/>
    </row>
    <row r="63" spans="1:11" ht="23.25" customHeight="1">
      <c r="A63" s="367">
        <v>2.5499999999999998E-2</v>
      </c>
      <c r="B63" s="30" t="s">
        <v>267</v>
      </c>
      <c r="C63" s="12"/>
      <c r="D63" s="12"/>
      <c r="E63" s="12"/>
      <c r="F63" s="12"/>
      <c r="G63" s="12"/>
      <c r="H63" s="12"/>
      <c r="I63" s="12"/>
      <c r="J63" s="12"/>
      <c r="K63" s="12"/>
    </row>
    <row r="64" spans="1:11" ht="23.25" customHeight="1">
      <c r="A64" s="367">
        <v>2.5000000000000001E-2</v>
      </c>
      <c r="B64" s="30" t="s">
        <v>268</v>
      </c>
      <c r="C64" s="12"/>
      <c r="D64" s="12"/>
      <c r="E64" s="12"/>
      <c r="F64" s="12"/>
      <c r="G64" s="12"/>
      <c r="H64" s="12"/>
      <c r="I64" s="12"/>
      <c r="J64" s="12"/>
      <c r="K64" s="12"/>
    </row>
    <row r="65" spans="1:11" ht="23.25" customHeight="1">
      <c r="A65" s="367">
        <v>2.4400000000000002E-2</v>
      </c>
      <c r="B65" s="30" t="s">
        <v>269</v>
      </c>
      <c r="C65" s="12"/>
      <c r="D65" s="12"/>
      <c r="E65" s="12"/>
      <c r="F65" s="12"/>
      <c r="G65" s="12"/>
      <c r="H65" s="12"/>
      <c r="I65" s="12"/>
      <c r="J65" s="12"/>
      <c r="K65" s="12"/>
    </row>
    <row r="66" spans="1:11" ht="23.25" customHeight="1">
      <c r="A66" s="367">
        <v>2.3E-2</v>
      </c>
      <c r="B66" s="30" t="s">
        <v>510</v>
      </c>
      <c r="C66" s="12"/>
      <c r="D66" s="12"/>
      <c r="E66" s="12"/>
      <c r="F66" s="12"/>
      <c r="G66" s="12"/>
      <c r="H66" s="12"/>
      <c r="I66" s="12"/>
      <c r="J66" s="12"/>
      <c r="K66" s="12"/>
    </row>
    <row r="67" spans="1:11" ht="23.25" customHeight="1">
      <c r="A67" s="367">
        <v>0.02</v>
      </c>
      <c r="B67" s="30" t="s">
        <v>264</v>
      </c>
      <c r="C67" s="12"/>
      <c r="D67" s="12"/>
      <c r="E67" s="12"/>
      <c r="F67" s="12"/>
      <c r="G67" s="12"/>
      <c r="H67" s="12"/>
      <c r="I67" s="12"/>
      <c r="J67" s="12"/>
      <c r="K67" s="12"/>
    </row>
    <row r="68" spans="1:11" ht="27" customHeight="1">
      <c r="B68" s="12" t="s">
        <v>0</v>
      </c>
      <c r="C68" s="12"/>
      <c r="D68" s="12"/>
      <c r="E68" s="12"/>
      <c r="F68" s="12"/>
      <c r="G68" s="12"/>
      <c r="H68" s="12"/>
      <c r="I68" s="12"/>
      <c r="J68" s="12"/>
      <c r="K68" s="12"/>
    </row>
    <row r="69" spans="1:11" ht="15" customHeight="1">
      <c r="A69" s="12"/>
      <c r="B69" s="12"/>
      <c r="C69" s="12"/>
      <c r="D69" s="12"/>
      <c r="E69" s="12"/>
      <c r="F69" s="12"/>
      <c r="G69" s="12"/>
      <c r="H69" s="12"/>
      <c r="I69" s="12"/>
      <c r="J69" s="12"/>
      <c r="K69" s="12"/>
    </row>
    <row r="70" spans="1:11" ht="15.75" customHeight="1" thickBot="1">
      <c r="B70" s="12"/>
      <c r="C70" s="12"/>
      <c r="D70" s="28"/>
      <c r="E70" s="28"/>
      <c r="F70" s="28"/>
      <c r="G70" s="12"/>
      <c r="H70" s="12"/>
      <c r="I70" s="12"/>
      <c r="J70" s="12"/>
      <c r="K70" s="12"/>
    </row>
    <row r="71" spans="1:11" ht="20.25" customHeight="1">
      <c r="B71" s="30"/>
      <c r="C71" s="30"/>
      <c r="D71" s="12"/>
      <c r="E71" s="31" t="s">
        <v>217</v>
      </c>
      <c r="F71" s="12"/>
      <c r="G71" s="12"/>
      <c r="H71" s="12"/>
      <c r="I71" s="12"/>
      <c r="J71" s="12"/>
      <c r="K71" s="12"/>
    </row>
    <row r="72" spans="1:11" ht="18.75" customHeight="1" thickBot="1">
      <c r="A72" s="157"/>
      <c r="B72" s="30"/>
      <c r="C72" s="30"/>
      <c r="D72" s="28"/>
      <c r="E72" s="36" t="s">
        <v>77</v>
      </c>
      <c r="F72" s="28"/>
      <c r="G72" s="12"/>
      <c r="H72" s="12"/>
      <c r="I72" s="12"/>
      <c r="J72" s="12"/>
      <c r="K72" s="12"/>
    </row>
    <row r="73" spans="1:11" ht="18.75" customHeight="1" thickBot="1">
      <c r="A73" s="156" t="s">
        <v>218</v>
      </c>
      <c r="B73" s="30"/>
      <c r="C73" s="30"/>
      <c r="D73" s="34"/>
      <c r="E73" s="153"/>
      <c r="F73" s="12"/>
      <c r="G73" s="12"/>
      <c r="H73" s="12"/>
      <c r="I73" s="12"/>
      <c r="J73" s="12"/>
      <c r="K73" s="12"/>
    </row>
    <row r="74" spans="1:11" ht="15" customHeight="1">
      <c r="A74" s="38" t="s">
        <v>0</v>
      </c>
      <c r="B74" s="38"/>
      <c r="C74" s="38"/>
      <c r="D74" s="40" t="s">
        <v>0</v>
      </c>
      <c r="E74" s="40" t="s">
        <v>0</v>
      </c>
      <c r="F74" s="40" t="s">
        <v>0</v>
      </c>
      <c r="G74" s="40"/>
      <c r="H74" s="12"/>
      <c r="I74" s="12"/>
    </row>
    <row r="75" spans="1:11" ht="15" customHeight="1">
      <c r="A75" s="34" t="s">
        <v>0</v>
      </c>
      <c r="B75" s="34"/>
      <c r="C75" s="34"/>
      <c r="D75" s="191" t="s">
        <v>81</v>
      </c>
      <c r="E75" s="191" t="s">
        <v>263</v>
      </c>
      <c r="F75" s="191" t="s">
        <v>130</v>
      </c>
      <c r="G75" s="273"/>
      <c r="H75" s="12"/>
      <c r="I75" s="12"/>
    </row>
    <row r="76" spans="1:11" ht="15" customHeight="1">
      <c r="A76" s="129" t="s">
        <v>128</v>
      </c>
      <c r="B76" s="129"/>
      <c r="C76" s="129"/>
      <c r="D76" s="192" t="s">
        <v>83</v>
      </c>
      <c r="E76" s="192" t="s">
        <v>129</v>
      </c>
      <c r="F76" s="192" t="s">
        <v>131</v>
      </c>
      <c r="G76" s="273"/>
      <c r="H76" s="12"/>
      <c r="I76" s="12"/>
    </row>
    <row r="79" spans="1:11" ht="15.75" customHeight="1">
      <c r="A79" s="173" t="s">
        <v>270</v>
      </c>
      <c r="B79" s="174"/>
      <c r="C79" s="221"/>
      <c r="D79" s="182">
        <f>+A57</f>
        <v>2.3E-2</v>
      </c>
      <c r="E79" s="182">
        <v>1.5800000000000002E-2</v>
      </c>
      <c r="F79" s="175">
        <f t="shared" ref="F79:F86" si="1">+D79+E79</f>
        <v>3.8800000000000001E-2</v>
      </c>
      <c r="G79" s="274"/>
      <c r="H79" s="12"/>
      <c r="I79" s="12"/>
    </row>
    <row r="80" spans="1:11" ht="15.75" customHeight="1">
      <c r="A80" s="176" t="s">
        <v>271</v>
      </c>
      <c r="B80" s="62"/>
      <c r="C80" s="222"/>
      <c r="D80" s="369">
        <f>+A58</f>
        <v>2.53E-2</v>
      </c>
      <c r="E80" s="369">
        <v>1.61E-2</v>
      </c>
      <c r="F80" s="177">
        <f t="shared" si="1"/>
        <v>4.1399999999999999E-2</v>
      </c>
      <c r="G80" s="274"/>
      <c r="H80" s="12"/>
      <c r="I80" s="12"/>
    </row>
    <row r="81" spans="1:9" ht="15.75" customHeight="1">
      <c r="A81" s="178" t="s">
        <v>272</v>
      </c>
      <c r="B81" s="179"/>
      <c r="C81" s="223"/>
      <c r="D81" s="183">
        <f>+A59</f>
        <v>2.3099999999999999E-2</v>
      </c>
      <c r="E81" s="183">
        <v>1.66E-2</v>
      </c>
      <c r="F81" s="180">
        <f t="shared" si="1"/>
        <v>3.9699999999999999E-2</v>
      </c>
      <c r="G81" s="274"/>
      <c r="H81" s="12"/>
      <c r="I81" s="12"/>
    </row>
    <row r="82" spans="1:9" ht="15.75" customHeight="1">
      <c r="A82" s="176" t="s">
        <v>273</v>
      </c>
      <c r="B82" s="62"/>
      <c r="C82" s="222"/>
      <c r="D82" s="369">
        <f t="shared" ref="D82:D84" si="2">+A63</f>
        <v>2.5499999999999998E-2</v>
      </c>
      <c r="E82" s="369">
        <v>1.9699999999999999E-2</v>
      </c>
      <c r="F82" s="177">
        <f t="shared" si="1"/>
        <v>4.5199999999999997E-2</v>
      </c>
      <c r="G82" s="274"/>
      <c r="H82" s="12"/>
      <c r="I82" s="12"/>
    </row>
    <row r="83" spans="1:9" ht="15.75" customHeight="1">
      <c r="A83" s="176" t="s">
        <v>274</v>
      </c>
      <c r="B83" s="62"/>
      <c r="C83" s="222"/>
      <c r="D83" s="369">
        <f t="shared" si="2"/>
        <v>2.5000000000000001E-2</v>
      </c>
      <c r="E83" s="369">
        <v>1.9300000000000001E-2</v>
      </c>
      <c r="F83" s="177">
        <f t="shared" si="1"/>
        <v>4.4300000000000006E-2</v>
      </c>
      <c r="G83" s="274"/>
      <c r="H83" s="12"/>
      <c r="I83" s="12"/>
    </row>
    <row r="84" spans="1:9" ht="15.75" customHeight="1">
      <c r="A84" s="176" t="s">
        <v>511</v>
      </c>
      <c r="B84" s="62"/>
      <c r="C84" s="222"/>
      <c r="D84" s="369">
        <f t="shared" si="2"/>
        <v>2.4400000000000002E-2</v>
      </c>
      <c r="E84" s="369">
        <v>1.9599999999999999E-2</v>
      </c>
      <c r="F84" s="177">
        <f t="shared" si="1"/>
        <v>4.3999999999999997E-2</v>
      </c>
      <c r="G84" s="274"/>
      <c r="H84" s="12"/>
      <c r="I84" s="12"/>
    </row>
    <row r="85" spans="1:9" ht="15.75" customHeight="1">
      <c r="A85" s="176" t="s">
        <v>512</v>
      </c>
      <c r="B85" s="62"/>
      <c r="C85" s="222"/>
      <c r="D85" s="369">
        <f>+A66</f>
        <v>2.3E-2</v>
      </c>
      <c r="E85" s="369">
        <v>1.7999999999999999E-2</v>
      </c>
      <c r="F85" s="177">
        <f t="shared" si="1"/>
        <v>4.0999999999999995E-2</v>
      </c>
      <c r="G85" s="274"/>
      <c r="H85" s="12"/>
      <c r="I85" s="12"/>
    </row>
    <row r="86" spans="1:9" ht="15.75" customHeight="1">
      <c r="A86" s="178" t="s">
        <v>265</v>
      </c>
      <c r="B86" s="179"/>
      <c r="C86" s="223"/>
      <c r="D86" s="183">
        <f>+A67</f>
        <v>0.02</v>
      </c>
      <c r="E86" s="183">
        <v>1.7000000000000001E-2</v>
      </c>
      <c r="F86" s="180">
        <f t="shared" si="1"/>
        <v>3.7000000000000005E-2</v>
      </c>
      <c r="G86" s="274"/>
      <c r="H86" s="12"/>
      <c r="I86" s="12"/>
    </row>
    <row r="87" spans="1:9" ht="15.75" customHeight="1">
      <c r="A87" s="105"/>
      <c r="B87" s="123"/>
      <c r="C87" s="123" t="s">
        <v>46</v>
      </c>
      <c r="D87" s="181">
        <v>2.5499999999999998E-2</v>
      </c>
      <c r="E87" s="181">
        <v>1.9699999999999999E-2</v>
      </c>
      <c r="F87" s="181">
        <v>4.5199999999999997E-2</v>
      </c>
      <c r="G87" s="275"/>
      <c r="H87" s="12"/>
      <c r="I87" s="12"/>
    </row>
    <row r="88" spans="1:9" ht="15.75" customHeight="1">
      <c r="A88" s="105"/>
      <c r="B88" s="123"/>
      <c r="C88" s="123" t="s">
        <v>47</v>
      </c>
      <c r="D88" s="181">
        <v>0.02</v>
      </c>
      <c r="E88" s="181">
        <v>1.5800000000000002E-2</v>
      </c>
      <c r="F88" s="235">
        <v>3.6999999999999998E-2</v>
      </c>
      <c r="G88" s="275"/>
      <c r="H88" s="12"/>
      <c r="I88" s="12"/>
    </row>
    <row r="89" spans="1:9" ht="15.75" customHeight="1">
      <c r="A89" s="105"/>
      <c r="B89" s="123"/>
      <c r="C89" s="123" t="s">
        <v>18</v>
      </c>
      <c r="D89" s="456">
        <f>MEDIAN(D79:D86)</f>
        <v>2.375E-2</v>
      </c>
      <c r="E89" s="456">
        <f>MEDIAN(E79:E86)</f>
        <v>1.7500000000000002E-2</v>
      </c>
      <c r="F89" s="177">
        <f t="shared" ref="F89:F90" si="3">+D89+E89</f>
        <v>4.1250000000000002E-2</v>
      </c>
      <c r="G89" s="274"/>
      <c r="H89" s="12"/>
      <c r="I89" s="12"/>
    </row>
    <row r="90" spans="1:9" ht="15.75" customHeight="1">
      <c r="A90" s="105"/>
      <c r="B90" s="123"/>
      <c r="C90" s="123" t="s">
        <v>19</v>
      </c>
      <c r="D90" s="378">
        <f>AVERAGE(D79:D86)</f>
        <v>2.3662499999999996E-2</v>
      </c>
      <c r="E90" s="378">
        <f>AVERAGE(E79:E86)</f>
        <v>1.7762500000000001E-2</v>
      </c>
      <c r="F90" s="180">
        <f t="shared" si="3"/>
        <v>4.1424999999999997E-2</v>
      </c>
      <c r="G90" s="274"/>
      <c r="H90" s="12"/>
      <c r="I90" s="12"/>
    </row>
    <row r="91" spans="1:9" ht="15" customHeight="1">
      <c r="A91" s="12"/>
      <c r="B91" s="14"/>
    </row>
    <row r="92" spans="1:9" ht="18.75" customHeight="1" thickBot="1">
      <c r="A92" s="12"/>
      <c r="B92" s="14"/>
    </row>
    <row r="93" spans="1:9" ht="21" customHeight="1" thickBot="1">
      <c r="A93" s="12"/>
      <c r="B93" s="130"/>
      <c r="C93" s="49" t="s">
        <v>220</v>
      </c>
      <c r="D93" s="347">
        <v>2.366E-2</v>
      </c>
      <c r="E93" s="347">
        <v>1.7760000000000001E-2</v>
      </c>
      <c r="F93" s="379">
        <f>+D93+E93</f>
        <v>4.1419999999999998E-2</v>
      </c>
    </row>
    <row r="94" spans="1:9" ht="15" customHeight="1">
      <c r="A94" s="12"/>
      <c r="B94" s="12"/>
      <c r="C94" s="12"/>
      <c r="D94" s="12"/>
      <c r="E94" s="12"/>
      <c r="F94" s="12"/>
      <c r="G94" s="12"/>
      <c r="I94" s="12"/>
    </row>
    <row r="95" spans="1:9" ht="15" customHeight="1">
      <c r="A95" s="12"/>
      <c r="B95" s="12"/>
      <c r="C95" s="12"/>
      <c r="D95" s="12"/>
      <c r="E95" s="12"/>
      <c r="F95" s="12"/>
      <c r="G95" s="12"/>
      <c r="I95" s="12" t="s">
        <v>0</v>
      </c>
    </row>
    <row r="96" spans="1:9" ht="16.5" customHeight="1">
      <c r="A96" s="12"/>
      <c r="B96" s="12"/>
      <c r="C96" s="12"/>
      <c r="D96" s="12"/>
      <c r="E96" s="12"/>
      <c r="F96" s="12"/>
      <c r="G96" s="12"/>
      <c r="H96" s="12"/>
      <c r="I96" s="12"/>
    </row>
    <row r="97" spans="1:9" ht="15" customHeight="1">
      <c r="A97" s="131" t="s">
        <v>151</v>
      </c>
      <c r="B97" s="132"/>
      <c r="C97" s="132"/>
      <c r="D97" s="132"/>
      <c r="E97" s="133"/>
      <c r="F97" s="132"/>
      <c r="G97" s="132"/>
      <c r="H97" s="132"/>
      <c r="I97" s="12"/>
    </row>
    <row r="98" spans="1:9" ht="15" customHeight="1">
      <c r="A98" s="470" t="s">
        <v>406</v>
      </c>
      <c r="B98" s="470"/>
      <c r="C98" s="470"/>
      <c r="D98" s="470"/>
      <c r="E98" s="470"/>
      <c r="F98" s="470"/>
      <c r="G98" s="470"/>
      <c r="H98" s="470"/>
      <c r="I98" s="12"/>
    </row>
    <row r="99" spans="1:9" ht="16.5" customHeight="1">
      <c r="A99" s="154" t="s">
        <v>407</v>
      </c>
      <c r="B99" s="132"/>
      <c r="C99" s="154" t="s">
        <v>0</v>
      </c>
      <c r="D99" s="132"/>
      <c r="E99" s="133"/>
      <c r="F99" s="132"/>
      <c r="G99" s="132"/>
      <c r="H99" s="132"/>
      <c r="I99" s="12"/>
    </row>
    <row r="100" spans="1:9" ht="15" customHeight="1">
      <c r="A100" s="131"/>
      <c r="B100" s="132"/>
      <c r="C100" s="132"/>
      <c r="D100" s="132"/>
      <c r="E100" s="133"/>
      <c r="F100" s="132"/>
      <c r="G100" s="132"/>
      <c r="H100" s="132"/>
      <c r="I100" s="12"/>
    </row>
    <row r="101" spans="1:9" ht="15" customHeight="1">
      <c r="A101" s="470" t="s">
        <v>405</v>
      </c>
      <c r="B101" s="470"/>
      <c r="C101" s="470"/>
      <c r="D101" s="470"/>
      <c r="E101" s="470"/>
      <c r="F101" s="470"/>
      <c r="G101" s="470"/>
      <c r="H101" s="470"/>
      <c r="I101" s="12"/>
    </row>
    <row r="102" spans="1:9" ht="16.5" customHeight="1">
      <c r="A102" s="134" t="s">
        <v>152</v>
      </c>
      <c r="B102" s="135"/>
      <c r="C102" s="135" t="s">
        <v>0</v>
      </c>
      <c r="D102" s="135"/>
      <c r="E102" s="135"/>
      <c r="F102" s="135"/>
      <c r="G102" s="135"/>
      <c r="H102" s="132"/>
      <c r="I102" s="12"/>
    </row>
    <row r="103" spans="1:9" ht="15" customHeight="1">
      <c r="A103" s="134"/>
      <c r="B103" s="135"/>
      <c r="C103" s="135"/>
      <c r="D103" s="135"/>
      <c r="E103" s="135"/>
      <c r="F103" s="135"/>
      <c r="G103" s="135"/>
      <c r="H103" s="132"/>
      <c r="I103" s="12"/>
    </row>
    <row r="104" spans="1:9" ht="15" customHeight="1">
      <c r="A104" s="470" t="s">
        <v>219</v>
      </c>
      <c r="B104" s="470"/>
      <c r="C104" s="470"/>
      <c r="D104" s="470"/>
      <c r="E104" s="470"/>
      <c r="F104" s="470"/>
      <c r="G104" s="470"/>
      <c r="H104" s="470"/>
      <c r="I104" s="12"/>
    </row>
    <row r="105" spans="1:9" ht="16.5" customHeight="1">
      <c r="A105" s="134" t="s">
        <v>152</v>
      </c>
      <c r="B105" s="135"/>
      <c r="C105" s="135" t="s">
        <v>0</v>
      </c>
      <c r="D105" s="135"/>
      <c r="E105" s="135"/>
      <c r="F105" s="135"/>
      <c r="G105" s="135"/>
      <c r="H105" s="132"/>
      <c r="I105" s="12"/>
    </row>
    <row r="106" spans="1:9" ht="15" customHeight="1">
      <c r="A106" s="134"/>
      <c r="B106" s="135"/>
      <c r="C106" s="135"/>
      <c r="D106" s="135"/>
      <c r="E106" s="135"/>
      <c r="F106" s="135"/>
      <c r="G106" s="135"/>
      <c r="H106" s="132"/>
      <c r="I106" s="12"/>
    </row>
    <row r="107" spans="1:9" ht="15" customHeight="1">
      <c r="A107" s="470" t="s">
        <v>412</v>
      </c>
      <c r="B107" s="470"/>
      <c r="C107" s="470"/>
      <c r="D107" s="470"/>
      <c r="E107" s="470"/>
      <c r="F107" s="470"/>
      <c r="G107" s="470"/>
      <c r="H107" s="470"/>
      <c r="I107" s="12"/>
    </row>
    <row r="108" spans="1:9" ht="15" customHeight="1">
      <c r="A108" s="370" t="s">
        <v>153</v>
      </c>
      <c r="B108" s="135"/>
      <c r="C108" s="135"/>
      <c r="D108" s="135"/>
      <c r="E108" s="135"/>
      <c r="F108" s="135"/>
      <c r="G108" s="135"/>
      <c r="H108" s="132"/>
      <c r="I108" s="12"/>
    </row>
    <row r="109" spans="1:9" ht="15" customHeight="1">
      <c r="A109" s="154" t="s">
        <v>413</v>
      </c>
      <c r="B109" s="135"/>
      <c r="C109" s="135"/>
      <c r="D109" s="135"/>
      <c r="E109" s="135"/>
      <c r="F109" s="135"/>
      <c r="G109" s="135"/>
      <c r="H109" s="132"/>
      <c r="I109" s="12"/>
    </row>
    <row r="110" spans="1:9" ht="15" customHeight="1">
      <c r="A110" s="154"/>
      <c r="B110" s="135"/>
      <c r="C110" s="135"/>
      <c r="D110" s="135"/>
      <c r="E110" s="135"/>
      <c r="F110" s="135"/>
      <c r="G110" s="135"/>
      <c r="H110" s="132"/>
      <c r="I110" s="12"/>
    </row>
    <row r="111" spans="1:9" ht="15" customHeight="1">
      <c r="A111" s="137" t="s">
        <v>513</v>
      </c>
      <c r="B111" s="137"/>
      <c r="C111" s="137"/>
      <c r="D111" s="137"/>
      <c r="E111" s="137"/>
      <c r="F111" s="137"/>
      <c r="G111" s="137"/>
      <c r="H111" s="132"/>
      <c r="I111" s="12"/>
    </row>
    <row r="112" spans="1:9" ht="15" customHeight="1">
      <c r="A112" s="136" t="s">
        <v>154</v>
      </c>
      <c r="B112" s="135"/>
      <c r="C112" s="154" t="s">
        <v>514</v>
      </c>
      <c r="D112" s="135"/>
      <c r="E112" s="135"/>
      <c r="F112" s="135"/>
      <c r="G112" s="135"/>
      <c r="H112" s="132"/>
      <c r="I112" s="12"/>
    </row>
    <row r="113" spans="1:9" ht="15" customHeight="1">
      <c r="A113" s="136"/>
      <c r="B113" s="138"/>
      <c r="C113" s="138"/>
      <c r="D113" s="138"/>
      <c r="E113" s="138"/>
      <c r="F113" s="138"/>
      <c r="G113" s="138"/>
      <c r="H113" s="139"/>
      <c r="I113" s="12"/>
    </row>
    <row r="114" spans="1:9" ht="15" customHeight="1">
      <c r="A114" s="137" t="s">
        <v>266</v>
      </c>
    </row>
    <row r="115" spans="1:9">
      <c r="A115" s="371" t="s">
        <v>414</v>
      </c>
    </row>
  </sheetData>
  <mergeCells count="4">
    <mergeCell ref="A107:H107"/>
    <mergeCell ref="A98:H98"/>
    <mergeCell ref="A101:H101"/>
    <mergeCell ref="A104:H104"/>
  </mergeCells>
  <hyperlinks>
    <hyperlink ref="A102" r:id="rId1" xr:uid="{9FE6CF55-32A9-422B-A651-75EC57924C38}"/>
    <hyperlink ref="A112" r:id="rId2" location="4" display="https://www.cbo.gov/about/products/budget-economic-data - 4" xr:uid="{3B04EDB5-11C9-4452-BE84-6EF9F3BA8C9C}"/>
    <hyperlink ref="A108" r:id="rId3" xr:uid="{30D383C9-A149-4B5D-8811-9D2F3AF91FAB}"/>
    <hyperlink ref="A105" r:id="rId4" xr:uid="{4B5C122F-AA01-41D7-8000-A85321715B60}"/>
    <hyperlink ref="A51" r:id="rId5" xr:uid="{D803127C-8748-4010-B0DE-3D0151238A92}"/>
    <hyperlink ref="B35" r:id="rId6" xr:uid="{2EA9A8D0-53F7-49C4-A0F3-7E10924B92E5}"/>
    <hyperlink ref="B38" r:id="rId7" xr:uid="{BA5BFA3F-8DBA-4B10-A688-EF46DCFF7EB5}"/>
    <hyperlink ref="B44" r:id="rId8" xr:uid="{40867000-EFFA-4A05-892E-F915F745BAAE}"/>
    <hyperlink ref="B41" r:id="rId9" xr:uid="{9330C8D2-A6F9-457F-BC77-54AC80CEFEC3}"/>
    <hyperlink ref="B47" r:id="rId10" xr:uid="{59F525DA-9F7F-4253-9AB4-60650683F3DE}"/>
    <hyperlink ref="A99" r:id="rId11" xr:uid="{EE27A8DE-52B2-4205-8289-E03393CA1F78}"/>
    <hyperlink ref="A115" r:id="rId12" xr:uid="{5A5FCD51-003B-4EC2-8952-EA5829265C8D}"/>
    <hyperlink ref="C99" r:id="rId13" display="https://www.federalreserve.gov/datadownload/Preview.aspx?pi=400&amp;rel=H15&amp;preview=%20H15/H15/RIFLGFCY05_N.WF" xr:uid="{00ADB771-907C-4A55-83B2-7F75123F1282}"/>
    <hyperlink ref="A109" r:id="rId14" display="https://www.philadelphiafed.org/-/media/frbp/assets/surveys-and-data/survey-of-professional-forecasters/2023/spfq123.pdf" xr:uid="{9AC9378C-3E21-4378-B51D-04F216640F27}"/>
    <hyperlink ref="C112" r:id="rId15" xr:uid="{BC38D9F0-E181-4D74-BD31-9CDAF1748B5C}"/>
  </hyperlinks>
  <pageMargins left="0.25" right="0.25" top="0.75" bottom="0.75" header="0.3" footer="0.3"/>
  <pageSetup scale="29" fitToWidth="0" orientation="portrait" r:id="rId16"/>
  <rowBreaks count="1" manualBreakCount="1">
    <brk id="174"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498D-AEA4-474E-9B94-E2A31EACF33D}">
  <sheetPr>
    <tabColor rgb="FF92D050"/>
    <pageSetUpPr fitToPage="1"/>
  </sheetPr>
  <dimension ref="A1:I110"/>
  <sheetViews>
    <sheetView tabSelected="1" view="pageBreakPreview" topLeftCell="A27" zoomScale="70" zoomScaleNormal="80" zoomScaleSheetLayoutView="70" workbookViewId="0">
      <selection activeCell="A52" sqref="A52"/>
    </sheetView>
  </sheetViews>
  <sheetFormatPr defaultRowHeight="15"/>
  <cols>
    <col min="1" max="1" width="45.7109375" customWidth="1"/>
    <col min="2" max="2" width="15" customWidth="1"/>
    <col min="3" max="3" width="72.140625" customWidth="1"/>
    <col min="4" max="4" width="34.5703125" customWidth="1"/>
    <col min="5" max="5" width="21.7109375" customWidth="1"/>
    <col min="6" max="6" width="16.14062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0.25">
      <c r="A1" s="23" t="s">
        <v>1</v>
      </c>
      <c r="B1" s="12"/>
      <c r="C1" s="12"/>
      <c r="D1" s="12"/>
      <c r="E1" s="12"/>
      <c r="F1" s="12"/>
      <c r="G1" s="12"/>
      <c r="H1" s="12"/>
      <c r="I1" s="12"/>
    </row>
    <row r="2" spans="1:9" ht="15.75">
      <c r="A2" s="62" t="s">
        <v>9</v>
      </c>
      <c r="B2" s="12"/>
      <c r="C2" s="12"/>
      <c r="D2" s="12"/>
      <c r="E2" s="12"/>
      <c r="F2" s="12"/>
      <c r="G2" s="12"/>
      <c r="H2" s="12"/>
      <c r="I2" s="12"/>
    </row>
    <row r="3" spans="1:9">
      <c r="A3" s="43" t="s">
        <v>63</v>
      </c>
      <c r="B3" s="12"/>
      <c r="C3" s="12"/>
      <c r="D3" s="12"/>
      <c r="E3" s="12"/>
      <c r="F3" s="12"/>
      <c r="G3" s="12"/>
      <c r="H3" s="12"/>
      <c r="I3" s="12"/>
    </row>
    <row r="4" spans="1:9">
      <c r="A4" s="12"/>
      <c r="B4" s="12"/>
      <c r="C4" s="12"/>
      <c r="D4" s="12"/>
      <c r="E4" s="12"/>
      <c r="F4" s="12"/>
      <c r="G4" s="12"/>
      <c r="H4" s="12"/>
      <c r="I4" s="12"/>
    </row>
    <row r="5" spans="1:9" ht="16.5" thickBot="1">
      <c r="A5" s="62"/>
      <c r="B5" s="12"/>
      <c r="C5" s="12"/>
      <c r="D5" s="12"/>
      <c r="E5" s="12"/>
      <c r="F5" s="12"/>
      <c r="G5" s="12"/>
      <c r="H5" s="12"/>
      <c r="I5" s="12"/>
    </row>
    <row r="6" spans="1:9" ht="18.75" thickBot="1">
      <c r="A6" s="278" t="str">
        <f>+'S&amp;D'!A12</f>
        <v>Natural Gas Transmission Pipeline Carrier</v>
      </c>
      <c r="B6" s="205"/>
      <c r="C6" s="12"/>
      <c r="D6" s="12"/>
      <c r="E6" s="12"/>
      <c r="F6" s="12"/>
      <c r="G6" s="12"/>
      <c r="H6" s="12"/>
      <c r="I6" s="12"/>
    </row>
    <row r="7" spans="1:9" ht="18">
      <c r="A7" s="30"/>
      <c r="B7" s="12"/>
      <c r="C7" s="12"/>
      <c r="D7" s="12"/>
      <c r="E7" s="12"/>
      <c r="F7" s="12"/>
      <c r="G7" s="12"/>
      <c r="H7" s="12"/>
      <c r="I7" s="12"/>
    </row>
    <row r="8" spans="1:9" ht="16.5" thickBot="1">
      <c r="A8" s="62"/>
      <c r="B8" s="12"/>
      <c r="C8" s="28"/>
      <c r="E8" s="12"/>
      <c r="F8" s="12"/>
      <c r="G8" s="12"/>
      <c r="H8" s="12"/>
      <c r="I8" s="12"/>
    </row>
    <row r="9" spans="1:9" ht="20.25">
      <c r="B9" s="12"/>
      <c r="C9" s="31" t="s">
        <v>161</v>
      </c>
      <c r="E9" s="12"/>
      <c r="F9" s="12"/>
      <c r="G9" s="12"/>
      <c r="H9" s="12"/>
      <c r="I9" s="12"/>
    </row>
    <row r="10" spans="1:9" ht="18.75" thickBot="1">
      <c r="A10" s="30"/>
      <c r="B10" s="12"/>
      <c r="C10" s="32" t="s">
        <v>77</v>
      </c>
      <c r="E10" s="12"/>
      <c r="F10" s="12"/>
      <c r="G10" s="12"/>
      <c r="H10" s="12"/>
      <c r="I10" s="12"/>
    </row>
    <row r="11" spans="1:9" ht="18">
      <c r="A11" s="30"/>
      <c r="B11" s="12"/>
      <c r="C11" s="12"/>
      <c r="D11" s="12"/>
      <c r="E11" s="12"/>
      <c r="F11" s="12"/>
      <c r="G11" s="12"/>
      <c r="H11" s="12"/>
      <c r="I11" s="12"/>
    </row>
    <row r="12" spans="1:9" ht="15.75" thickBot="1">
      <c r="A12" s="12"/>
      <c r="B12" s="12"/>
      <c r="C12" s="12"/>
      <c r="D12" s="12"/>
      <c r="E12" s="12"/>
      <c r="F12" s="12"/>
      <c r="G12" s="12"/>
      <c r="H12" s="12"/>
      <c r="I12" s="12"/>
    </row>
    <row r="13" spans="1:9">
      <c r="A13" s="12"/>
      <c r="B13" s="12"/>
      <c r="C13" s="78" t="s">
        <v>0</v>
      </c>
      <c r="D13" s="78" t="s">
        <v>195</v>
      </c>
      <c r="E13" s="12"/>
      <c r="F13" s="12"/>
      <c r="G13" s="12"/>
      <c r="H13" s="12"/>
      <c r="I13" s="12"/>
    </row>
    <row r="14" spans="1:9" ht="18.75" thickBot="1">
      <c r="A14" s="12"/>
      <c r="B14" s="12"/>
      <c r="C14" s="405" t="s">
        <v>160</v>
      </c>
      <c r="D14" s="80" t="s">
        <v>292</v>
      </c>
      <c r="E14" s="12"/>
      <c r="F14" s="12"/>
      <c r="G14" s="12"/>
      <c r="H14" s="12"/>
      <c r="I14" s="12"/>
    </row>
    <row r="15" spans="1:9" ht="15.75">
      <c r="A15" s="12"/>
      <c r="B15" s="12"/>
      <c r="C15" s="406" t="s">
        <v>452</v>
      </c>
      <c r="D15" s="407">
        <f>+CAPM!F16</f>
        <v>8.1959999999999991E-2</v>
      </c>
      <c r="E15" s="408"/>
      <c r="F15" s="12"/>
      <c r="G15" s="12"/>
      <c r="H15" s="12"/>
      <c r="I15" s="12"/>
    </row>
    <row r="16" spans="1:9" ht="15.75">
      <c r="A16" s="12"/>
      <c r="B16" s="12"/>
      <c r="C16" s="409" t="s">
        <v>453</v>
      </c>
      <c r="D16" s="410">
        <f>+CAPM!F17</f>
        <v>9.7439999999999999E-2</v>
      </c>
      <c r="E16" s="408"/>
      <c r="F16" s="12"/>
      <c r="G16" s="12"/>
      <c r="H16" s="12"/>
      <c r="I16" s="12"/>
    </row>
    <row r="17" spans="1:9" ht="15.75">
      <c r="A17" s="12"/>
      <c r="B17" s="12"/>
      <c r="C17" s="409" t="s">
        <v>483</v>
      </c>
      <c r="D17" s="410">
        <f>+CAPM!F19</f>
        <v>0.11268</v>
      </c>
      <c r="E17" s="408"/>
      <c r="F17" s="12"/>
      <c r="G17" s="12"/>
      <c r="H17" s="12"/>
      <c r="I17" s="12"/>
    </row>
    <row r="18" spans="1:9" ht="15.75">
      <c r="A18" s="12"/>
      <c r="B18" s="12"/>
      <c r="C18" s="409" t="s">
        <v>499</v>
      </c>
      <c r="D18" s="410">
        <f>+CAPM!F20</f>
        <v>0.1116</v>
      </c>
      <c r="E18" s="408"/>
      <c r="F18" s="12"/>
      <c r="G18" s="12"/>
      <c r="H18" s="12"/>
      <c r="I18" s="12"/>
    </row>
    <row r="19" spans="1:9" ht="15.75">
      <c r="A19" s="12"/>
      <c r="B19" s="12"/>
      <c r="C19" s="409" t="s">
        <v>484</v>
      </c>
      <c r="D19" s="410">
        <f>+CAPM!F21</f>
        <v>0.10955999999999999</v>
      </c>
      <c r="E19" s="408"/>
      <c r="F19" s="12"/>
      <c r="G19" s="12"/>
      <c r="H19" s="12"/>
      <c r="I19" s="12"/>
    </row>
    <row r="20" spans="1:9" ht="15.75">
      <c r="A20" s="12"/>
      <c r="B20" s="12"/>
      <c r="C20" s="409" t="s">
        <v>485</v>
      </c>
      <c r="D20" s="410">
        <f>+CAPM!F22</f>
        <v>9.9360000000000004E-2</v>
      </c>
      <c r="E20" s="408"/>
      <c r="F20" s="12"/>
      <c r="G20" s="12"/>
      <c r="H20" s="12"/>
      <c r="I20" s="12"/>
    </row>
    <row r="21" spans="1:9" ht="15.75">
      <c r="A21" s="12"/>
      <c r="B21" s="12"/>
      <c r="C21" s="409" t="s">
        <v>162</v>
      </c>
      <c r="D21" s="410">
        <f>+CAPM!F24</f>
        <v>9.6839999999999996E-2</v>
      </c>
      <c r="E21" s="408"/>
      <c r="F21" s="12"/>
      <c r="G21" s="12"/>
      <c r="H21" s="12"/>
      <c r="I21" s="12"/>
    </row>
    <row r="22" spans="1:9" ht="15.75">
      <c r="A22" s="12"/>
      <c r="B22" s="12"/>
      <c r="C22" s="409" t="s">
        <v>163</v>
      </c>
      <c r="D22" s="410">
        <f>+CAPM!F26</f>
        <v>0.1086</v>
      </c>
      <c r="E22" s="408"/>
      <c r="F22" s="12"/>
      <c r="G22" s="12"/>
      <c r="H22" s="12"/>
      <c r="I22" s="12"/>
    </row>
    <row r="23" spans="1:9" ht="15.75">
      <c r="A23" s="12"/>
      <c r="B23" s="12"/>
      <c r="C23" s="409" t="s">
        <v>164</v>
      </c>
      <c r="D23" s="410">
        <f>+CAPM!F28</f>
        <v>0.11676</v>
      </c>
      <c r="E23" s="458"/>
      <c r="G23" s="12"/>
      <c r="H23" s="12"/>
      <c r="I23" s="12"/>
    </row>
    <row r="24" spans="1:9" ht="15.75">
      <c r="A24" s="12"/>
      <c r="B24" s="12"/>
      <c r="C24" s="409" t="s">
        <v>165</v>
      </c>
      <c r="D24" s="410">
        <f>+CAPM!F29</f>
        <v>0.10152</v>
      </c>
      <c r="E24" s="458"/>
      <c r="G24" s="12"/>
      <c r="H24" s="12"/>
      <c r="I24" s="12"/>
    </row>
    <row r="25" spans="1:9" ht="15.75">
      <c r="A25" s="12"/>
      <c r="B25" s="12"/>
      <c r="C25" s="411" t="s">
        <v>486</v>
      </c>
      <c r="D25" s="410">
        <f>+CAPM!F31</f>
        <v>0.12744</v>
      </c>
      <c r="E25" s="458"/>
      <c r="G25" s="12"/>
      <c r="H25" s="12"/>
      <c r="I25" s="12"/>
    </row>
    <row r="26" spans="1:9" ht="15.75">
      <c r="A26" s="12"/>
      <c r="B26" s="12"/>
      <c r="C26" s="411" t="s">
        <v>487</v>
      </c>
      <c r="D26" s="410">
        <f>+CAPM!F32</f>
        <v>0.11760000000000001</v>
      </c>
      <c r="E26" s="458"/>
      <c r="G26" s="12"/>
      <c r="H26" s="12"/>
      <c r="I26" s="12"/>
    </row>
    <row r="27" spans="1:9" ht="15.75">
      <c r="A27" s="12"/>
      <c r="B27" s="12"/>
      <c r="C27" s="411" t="s">
        <v>488</v>
      </c>
      <c r="D27" s="410">
        <f>+CAPM!F33</f>
        <v>0.1134</v>
      </c>
      <c r="E27" s="412"/>
      <c r="F27" s="12"/>
      <c r="G27" s="12"/>
      <c r="H27" s="12"/>
      <c r="I27" s="12"/>
    </row>
    <row r="28" spans="1:9" ht="15.75">
      <c r="A28" s="12"/>
      <c r="B28" s="12"/>
      <c r="C28" s="439" t="s">
        <v>475</v>
      </c>
      <c r="D28" s="410">
        <f>+CAPM!F35</f>
        <v>0.1134</v>
      </c>
      <c r="E28" s="412"/>
      <c r="F28" s="12"/>
      <c r="G28" s="12"/>
      <c r="H28" s="12"/>
      <c r="I28" s="12"/>
    </row>
    <row r="29" spans="1:9" ht="15.75">
      <c r="A29" s="12"/>
      <c r="B29" s="12"/>
      <c r="C29" s="439" t="s">
        <v>454</v>
      </c>
      <c r="D29" s="410">
        <f>+CAPM!G42</f>
        <v>8.0269999999999994E-2</v>
      </c>
      <c r="E29" s="408"/>
      <c r="F29" s="12"/>
      <c r="G29" s="12"/>
      <c r="H29" s="12"/>
      <c r="I29" s="12"/>
    </row>
    <row r="30" spans="1:9" ht="15.75">
      <c r="A30" s="12"/>
      <c r="B30" s="12"/>
      <c r="C30" s="409" t="s">
        <v>455</v>
      </c>
      <c r="D30" s="410">
        <f>+CAPM!G43</f>
        <v>9.5104999999999995E-2</v>
      </c>
      <c r="E30" s="408"/>
      <c r="F30" s="12"/>
      <c r="G30" s="12"/>
      <c r="H30" s="12"/>
      <c r="I30" s="12"/>
    </row>
    <row r="31" spans="1:9" ht="15.75">
      <c r="A31" s="12"/>
      <c r="B31" s="12"/>
      <c r="C31" s="409" t="s">
        <v>489</v>
      </c>
      <c r="D31" s="410">
        <f>+CAPM!G45</f>
        <v>0.10971</v>
      </c>
      <c r="E31" s="408"/>
      <c r="F31" s="12"/>
      <c r="G31" s="12"/>
      <c r="H31" s="12"/>
      <c r="I31" s="12"/>
    </row>
    <row r="32" spans="1:9" ht="15.75">
      <c r="A32" s="12"/>
      <c r="B32" s="12"/>
      <c r="C32" s="409" t="s">
        <v>500</v>
      </c>
      <c r="D32" s="410">
        <f>+CAPM!G46</f>
        <v>0.10867499999999999</v>
      </c>
      <c r="E32" s="408"/>
      <c r="F32" s="12"/>
      <c r="G32" s="12"/>
      <c r="H32" s="12"/>
      <c r="I32" s="12"/>
    </row>
    <row r="33" spans="1:9" ht="15.75">
      <c r="A33" s="12"/>
      <c r="B33" s="12"/>
      <c r="C33" s="409" t="s">
        <v>490</v>
      </c>
      <c r="D33" s="410">
        <f>+CAPM!G47</f>
        <v>0.10672000000000001</v>
      </c>
      <c r="E33" s="408"/>
      <c r="F33" s="12"/>
      <c r="G33" s="12"/>
      <c r="H33" s="12"/>
      <c r="I33" s="12"/>
    </row>
    <row r="34" spans="1:9" ht="15.75">
      <c r="A34" s="12"/>
      <c r="B34" s="12"/>
      <c r="C34" s="409" t="s">
        <v>491</v>
      </c>
      <c r="D34" s="410">
        <f>+CAPM!G48</f>
        <v>9.6945000000000003E-2</v>
      </c>
      <c r="E34" s="408"/>
      <c r="F34" s="12"/>
      <c r="G34" s="12"/>
      <c r="H34" s="12"/>
      <c r="I34" s="12"/>
    </row>
    <row r="35" spans="1:9" ht="15.75">
      <c r="A35" s="12"/>
      <c r="B35" s="12"/>
      <c r="C35" s="409" t="s">
        <v>166</v>
      </c>
      <c r="D35" s="410">
        <f>+CAPM!G50</f>
        <v>9.4530000000000003E-2</v>
      </c>
      <c r="E35" s="408"/>
      <c r="F35" s="12"/>
      <c r="G35" s="12"/>
      <c r="H35" s="12"/>
      <c r="I35" s="12"/>
    </row>
    <row r="36" spans="1:9" ht="15.75">
      <c r="A36" s="12"/>
      <c r="B36" s="12"/>
      <c r="C36" s="409" t="s">
        <v>167</v>
      </c>
      <c r="D36" s="410">
        <f>+CAPM!G52</f>
        <v>0.10580000000000001</v>
      </c>
      <c r="E36" s="408"/>
      <c r="F36" s="12"/>
      <c r="G36" s="12"/>
      <c r="H36" s="12"/>
      <c r="I36" s="12"/>
    </row>
    <row r="37" spans="1:9" ht="15.75">
      <c r="A37" s="12"/>
      <c r="B37" s="12"/>
      <c r="C37" s="411" t="s">
        <v>168</v>
      </c>
      <c r="D37" s="410">
        <f>+CAPM!G54</f>
        <v>0.11362</v>
      </c>
      <c r="E37" s="408"/>
      <c r="F37" s="12"/>
      <c r="G37" s="12"/>
      <c r="H37" s="12"/>
      <c r="I37" s="12"/>
    </row>
    <row r="38" spans="1:9" ht="15.75">
      <c r="A38" s="12"/>
      <c r="B38" s="12"/>
      <c r="C38" s="409" t="s">
        <v>169</v>
      </c>
      <c r="D38" s="410">
        <f>+CAPM!G55</f>
        <v>9.9014999999999992E-2</v>
      </c>
      <c r="E38" s="408"/>
      <c r="F38" s="12"/>
      <c r="G38" s="12"/>
      <c r="H38" s="12"/>
      <c r="I38" s="12"/>
    </row>
    <row r="39" spans="1:9" ht="16.5" customHeight="1">
      <c r="A39" s="12"/>
      <c r="B39" s="12"/>
      <c r="C39" s="411" t="s">
        <v>492</v>
      </c>
      <c r="D39" s="410">
        <f>+CAPM!G57</f>
        <v>0.12385499999999999</v>
      </c>
      <c r="E39" s="408" t="s">
        <v>0</v>
      </c>
      <c r="F39" s="12"/>
      <c r="G39" s="12"/>
      <c r="H39" s="12"/>
      <c r="I39" s="12"/>
    </row>
    <row r="40" spans="1:9" ht="16.5" customHeight="1">
      <c r="A40" s="12"/>
      <c r="B40" s="12"/>
      <c r="C40" s="411" t="s">
        <v>493</v>
      </c>
      <c r="D40" s="410">
        <f>+CAPM!G58</f>
        <v>0.114425</v>
      </c>
      <c r="E40" s="408"/>
      <c r="F40" s="12"/>
      <c r="G40" s="12"/>
      <c r="H40" s="12"/>
      <c r="I40" s="12"/>
    </row>
    <row r="41" spans="1:9" ht="18.75" customHeight="1">
      <c r="A41" s="12"/>
      <c r="B41" s="12"/>
      <c r="C41" s="411" t="s">
        <v>494</v>
      </c>
      <c r="D41" s="410">
        <f>+CAPM!G59</f>
        <v>0.1104</v>
      </c>
      <c r="E41" s="415"/>
      <c r="F41" s="12"/>
      <c r="G41" s="12"/>
      <c r="H41" s="12"/>
      <c r="I41" s="12"/>
    </row>
    <row r="42" spans="1:9" ht="18.75" customHeight="1">
      <c r="A42" s="12"/>
      <c r="B42" s="12"/>
      <c r="C42" s="413" t="s">
        <v>474</v>
      </c>
      <c r="D42" s="414">
        <f>+CAPM!G61</f>
        <v>0.1104</v>
      </c>
      <c r="E42" s="415"/>
      <c r="F42" s="12"/>
      <c r="G42" s="12"/>
      <c r="H42" s="12"/>
      <c r="I42" s="12"/>
    </row>
    <row r="43" spans="1:9" ht="21.75" customHeight="1">
      <c r="A43" s="12"/>
      <c r="B43" s="12"/>
      <c r="C43" s="289" t="s">
        <v>245</v>
      </c>
      <c r="D43" s="438">
        <f>+'Single Stage Div Growth Model'!I32</f>
        <v>0.1053</v>
      </c>
      <c r="E43" s="458"/>
      <c r="G43" s="12"/>
      <c r="H43" s="12"/>
      <c r="I43" s="12"/>
    </row>
    <row r="44" spans="1:9" ht="21.75" customHeight="1">
      <c r="A44" s="12"/>
      <c r="B44" s="12"/>
      <c r="C44" s="289" t="s">
        <v>244</v>
      </c>
      <c r="D44" s="438">
        <f>+'Single Stage Div Growth Model'!I34</f>
        <v>0.14810000000000001</v>
      </c>
      <c r="E44" s="458"/>
      <c r="G44" s="12"/>
      <c r="H44" s="12"/>
      <c r="I44" s="12"/>
    </row>
    <row r="45" spans="1:9" ht="21.75" customHeight="1">
      <c r="A45" s="12"/>
      <c r="B45" s="12"/>
      <c r="C45" s="416" t="s">
        <v>246</v>
      </c>
      <c r="D45" s="417">
        <f>+'Two-Stage Div Growth Model'!H36</f>
        <v>0.1363</v>
      </c>
      <c r="G45" s="81" t="s">
        <v>0</v>
      </c>
      <c r="H45" s="12"/>
      <c r="I45" s="12"/>
    </row>
    <row r="46" spans="1:9" ht="21.75" customHeight="1">
      <c r="A46" s="12"/>
      <c r="B46" s="12"/>
      <c r="C46" s="418" t="s">
        <v>374</v>
      </c>
      <c r="D46" s="419">
        <f>+'Direct NOPAT'!G63</f>
        <v>0.108</v>
      </c>
      <c r="E46" s="198" t="s">
        <v>0</v>
      </c>
      <c r="F46" s="12"/>
      <c r="G46" s="12"/>
      <c r="H46" s="12"/>
      <c r="I46" s="12"/>
    </row>
    <row r="47" spans="1:9" ht="15.75" thickBot="1">
      <c r="A47" s="12"/>
      <c r="B47" s="12"/>
      <c r="C47" s="12"/>
      <c r="D47" s="69"/>
      <c r="E47" s="12"/>
      <c r="F47" s="12"/>
      <c r="G47" s="12"/>
      <c r="H47" s="12"/>
      <c r="I47" s="12"/>
    </row>
    <row r="48" spans="1:9" ht="15.75" thickTop="1">
      <c r="A48" s="12"/>
      <c r="B48" s="12"/>
      <c r="C48" s="14" t="s">
        <v>46</v>
      </c>
      <c r="D48" s="52">
        <v>0.12959999999999999</v>
      </c>
      <c r="E48" s="153"/>
      <c r="F48" s="12"/>
      <c r="G48" s="12"/>
      <c r="H48" s="12"/>
      <c r="I48" s="12"/>
    </row>
    <row r="49" spans="1:9">
      <c r="A49" s="12"/>
      <c r="B49" s="12"/>
      <c r="C49" s="14" t="s">
        <v>47</v>
      </c>
      <c r="D49" s="356">
        <v>8.2299999999999998E-2</v>
      </c>
      <c r="E49" s="12"/>
      <c r="F49" s="12"/>
      <c r="G49" s="52"/>
      <c r="H49" s="52"/>
      <c r="I49" s="52"/>
    </row>
    <row r="50" spans="1:9">
      <c r="A50" s="12"/>
      <c r="B50" s="12"/>
      <c r="C50" s="14" t="s">
        <v>18</v>
      </c>
      <c r="D50" s="81">
        <f>MEDIAN(D15:D45)</f>
        <v>0.10955999999999999</v>
      </c>
      <c r="E50" s="81"/>
      <c r="F50" s="81"/>
      <c r="G50" s="81"/>
      <c r="H50" s="81"/>
      <c r="I50" s="81"/>
    </row>
    <row r="51" spans="1:9">
      <c r="A51" s="12"/>
      <c r="B51" s="12"/>
      <c r="C51" s="14" t="s">
        <v>460</v>
      </c>
      <c r="D51" s="82">
        <f>AVERAGE(D15:D45)</f>
        <v>0.10862354838709676</v>
      </c>
      <c r="E51" s="82"/>
      <c r="F51" s="82"/>
      <c r="G51" s="82"/>
      <c r="H51" s="82"/>
      <c r="I51" s="82"/>
    </row>
    <row r="52" spans="1:9">
      <c r="A52" s="12"/>
      <c r="B52" s="12"/>
      <c r="C52" s="14" t="s">
        <v>459</v>
      </c>
      <c r="D52" s="82">
        <f>HARMEAN(D15:D45)</f>
        <v>0.10695263690610259</v>
      </c>
      <c r="E52" s="82"/>
      <c r="F52" s="82"/>
      <c r="G52" s="82"/>
      <c r="H52" s="82"/>
      <c r="I52" s="82"/>
    </row>
    <row r="53" spans="1:9" ht="15.75" thickBot="1">
      <c r="A53" s="12"/>
      <c r="B53" s="12"/>
      <c r="C53" s="12"/>
      <c r="D53" s="12" t="s">
        <v>198</v>
      </c>
      <c r="E53" s="12"/>
      <c r="F53" s="12"/>
      <c r="G53" s="12"/>
      <c r="H53" s="12"/>
      <c r="I53" s="12"/>
    </row>
    <row r="54" spans="1:9" ht="21" thickBot="1">
      <c r="A54" s="12"/>
      <c r="B54" s="12"/>
      <c r="C54" s="214" t="s">
        <v>254</v>
      </c>
      <c r="D54" s="457">
        <v>0.1086</v>
      </c>
      <c r="E54" s="83"/>
      <c r="F54" s="83"/>
    </row>
    <row r="55" spans="1:9" ht="20.25">
      <c r="A55" s="12"/>
      <c r="B55" s="12"/>
      <c r="C55" s="49"/>
      <c r="D55" s="440"/>
      <c r="E55" s="83"/>
      <c r="F55" s="83"/>
    </row>
    <row r="56" spans="1:9" ht="20.25">
      <c r="A56" s="12"/>
      <c r="B56" s="12"/>
      <c r="C56" s="49"/>
      <c r="D56" s="440"/>
      <c r="E56" s="83"/>
      <c r="F56" s="83"/>
    </row>
    <row r="57" spans="1:9" ht="20.25">
      <c r="A57" s="12"/>
      <c r="B57" s="12"/>
      <c r="C57" s="49"/>
      <c r="D57" s="440"/>
      <c r="E57" s="83"/>
      <c r="F57" s="83"/>
    </row>
    <row r="58" spans="1:9" ht="15.75">
      <c r="A58" s="105" t="s">
        <v>255</v>
      </c>
      <c r="B58" s="12"/>
      <c r="C58" s="12"/>
      <c r="D58" s="12"/>
      <c r="E58" s="12"/>
      <c r="F58" s="12"/>
      <c r="G58" s="12"/>
      <c r="H58" s="12"/>
      <c r="I58" s="12"/>
    </row>
    <row r="59" spans="1:9" ht="15.75">
      <c r="A59" s="105" t="s">
        <v>377</v>
      </c>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t="s">
        <v>0</v>
      </c>
      <c r="E64" s="12"/>
      <c r="F64" s="12"/>
      <c r="G64" s="12"/>
      <c r="H64" s="12"/>
      <c r="I64" s="12"/>
    </row>
    <row r="65" spans="1:9">
      <c r="A65" s="12"/>
      <c r="B65" s="12"/>
      <c r="C65" s="12"/>
      <c r="D65" s="12" t="s">
        <v>0</v>
      </c>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row r="110" spans="1:9">
      <c r="A110" s="12"/>
      <c r="B110" s="12"/>
      <c r="C110" s="12"/>
      <c r="D110" s="12"/>
      <c r="E110" s="12"/>
      <c r="F110" s="12"/>
      <c r="G110" s="12"/>
      <c r="H110" s="12"/>
      <c r="I110" s="12"/>
    </row>
  </sheetData>
  <pageMargins left="0.25" right="0.25" top="0.75" bottom="0.75" header="0.3" footer="0.3"/>
  <pageSetup scale="4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F6FC-3131-4033-9513-A4F95DEDCBD0}">
  <sheetPr>
    <tabColor rgb="FF92D050"/>
    <pageSetUpPr fitToPage="1"/>
  </sheetPr>
  <dimension ref="A1:J84"/>
  <sheetViews>
    <sheetView view="pageBreakPreview" topLeftCell="A13" zoomScale="60" zoomScaleNormal="80" workbookViewId="0">
      <selection activeCell="B52" sqref="B52"/>
    </sheetView>
  </sheetViews>
  <sheetFormatPr defaultRowHeight="15"/>
  <cols>
    <col min="1" max="1" width="74.57031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0.25">
      <c r="A1" s="23" t="s">
        <v>1</v>
      </c>
      <c r="B1" s="23"/>
      <c r="C1" s="23"/>
      <c r="D1" s="12"/>
      <c r="E1" s="12"/>
      <c r="F1" s="12"/>
      <c r="G1" s="12"/>
      <c r="H1" s="12"/>
      <c r="I1" s="12"/>
      <c r="J1" s="12"/>
    </row>
    <row r="2" spans="1:10" ht="15.75">
      <c r="A2" s="24" t="s">
        <v>9</v>
      </c>
      <c r="B2" s="24"/>
      <c r="C2" s="24"/>
      <c r="D2" s="12"/>
      <c r="E2" s="12"/>
      <c r="F2" s="12"/>
      <c r="G2" s="12"/>
      <c r="H2" s="12"/>
      <c r="I2" s="12"/>
      <c r="J2" s="12"/>
    </row>
    <row r="3" spans="1:10">
      <c r="A3" s="25" t="s">
        <v>63</v>
      </c>
      <c r="B3" s="25"/>
      <c r="C3" s="25"/>
      <c r="D3" s="12"/>
      <c r="E3" s="12"/>
      <c r="F3" s="12"/>
      <c r="G3" s="12"/>
      <c r="H3" s="12"/>
      <c r="I3" s="12"/>
      <c r="J3" s="12"/>
    </row>
    <row r="4" spans="1:10">
      <c r="A4" s="25"/>
      <c r="B4" s="25"/>
      <c r="C4" s="25"/>
      <c r="D4" s="12"/>
      <c r="E4" s="12"/>
      <c r="F4" s="12"/>
      <c r="G4" s="12"/>
      <c r="H4" s="12"/>
      <c r="I4" s="12"/>
      <c r="J4" s="12"/>
    </row>
    <row r="5" spans="1:10" ht="15.75" thickBot="1">
      <c r="A5" s="12"/>
      <c r="B5" s="12"/>
      <c r="C5" s="12"/>
      <c r="D5" s="12"/>
      <c r="E5" s="12"/>
      <c r="F5" s="12"/>
      <c r="G5" s="12"/>
      <c r="H5" s="26" t="s">
        <v>0</v>
      </c>
      <c r="I5" s="26"/>
      <c r="J5" s="12"/>
    </row>
    <row r="6" spans="1:10" ht="18.75" thickBot="1">
      <c r="A6" s="27" t="str">
        <f>+'S&amp;D'!A12</f>
        <v>Natural Gas Transmission Pipeline Carrier</v>
      </c>
      <c r="B6" s="12"/>
      <c r="C6" s="12"/>
      <c r="D6" s="28"/>
      <c r="E6" s="28"/>
      <c r="F6" s="28"/>
      <c r="G6" s="12"/>
      <c r="H6" s="12"/>
      <c r="I6" s="12"/>
      <c r="J6" s="12"/>
    </row>
    <row r="7" spans="1:10" ht="20.25">
      <c r="B7" s="30"/>
      <c r="C7" s="30"/>
      <c r="D7" s="12"/>
      <c r="E7" s="31" t="s">
        <v>215</v>
      </c>
      <c r="F7" s="12"/>
      <c r="G7" s="12"/>
      <c r="H7" s="12"/>
      <c r="I7" s="12"/>
      <c r="J7" s="12"/>
    </row>
    <row r="8" spans="1:10" ht="18.75" thickBot="1">
      <c r="A8" s="30"/>
      <c r="B8" s="30"/>
      <c r="C8" s="30"/>
      <c r="D8" s="28"/>
      <c r="E8" s="36" t="s">
        <v>77</v>
      </c>
      <c r="F8" s="28"/>
      <c r="G8" s="12"/>
      <c r="H8" s="12"/>
      <c r="I8" s="12"/>
      <c r="J8" s="12"/>
    </row>
    <row r="9" spans="1:10" ht="18">
      <c r="A9" s="30"/>
      <c r="B9" s="30"/>
      <c r="C9" s="30"/>
      <c r="D9" s="12"/>
      <c r="E9" s="34"/>
      <c r="F9" s="12"/>
      <c r="G9" s="12"/>
      <c r="H9" s="12"/>
      <c r="I9" s="12"/>
      <c r="J9" s="12"/>
    </row>
    <row r="10" spans="1:10" ht="18">
      <c r="A10" s="30"/>
      <c r="B10" s="30"/>
      <c r="H10" s="12"/>
      <c r="I10" s="12"/>
      <c r="J10" s="12"/>
    </row>
    <row r="11" spans="1:10" ht="18">
      <c r="A11" s="30"/>
      <c r="B11" s="30"/>
      <c r="H11" s="12"/>
      <c r="I11" s="12"/>
      <c r="J11" s="12"/>
    </row>
    <row r="12" spans="1:10" ht="30" customHeight="1" thickBot="1">
      <c r="A12" s="30"/>
      <c r="B12" s="30"/>
      <c r="C12" t="s">
        <v>0</v>
      </c>
      <c r="H12" s="12"/>
      <c r="I12" s="12"/>
      <c r="J12" s="12"/>
    </row>
    <row r="13" spans="1:10" ht="26.25" customHeight="1" thickBot="1">
      <c r="A13" s="166" t="s">
        <v>232</v>
      </c>
      <c r="B13" s="12" t="s">
        <v>0</v>
      </c>
      <c r="C13" s="12"/>
      <c r="D13" s="12"/>
      <c r="E13" s="12"/>
      <c r="F13" s="12"/>
      <c r="G13" s="12"/>
      <c r="H13" s="12"/>
      <c r="I13" s="12"/>
      <c r="J13" s="12"/>
    </row>
    <row r="14" spans="1:10" ht="42" customHeight="1" thickBot="1">
      <c r="A14" s="165" t="s">
        <v>230</v>
      </c>
      <c r="B14" s="164" t="s">
        <v>221</v>
      </c>
      <c r="C14" s="163" t="s">
        <v>233</v>
      </c>
      <c r="D14" s="164" t="s">
        <v>223</v>
      </c>
      <c r="E14" s="164" t="s">
        <v>451</v>
      </c>
      <c r="F14" s="162" t="s">
        <v>222</v>
      </c>
      <c r="G14" s="12"/>
      <c r="H14" s="12"/>
      <c r="I14" s="12"/>
      <c r="J14" s="12"/>
    </row>
    <row r="15" spans="1:10">
      <c r="A15" s="159"/>
      <c r="B15" s="111"/>
      <c r="C15" s="111"/>
      <c r="D15" s="111"/>
      <c r="E15" s="111"/>
      <c r="F15" s="160"/>
      <c r="G15" s="12"/>
      <c r="H15" s="12"/>
      <c r="I15" s="12"/>
      <c r="J15" s="12"/>
    </row>
    <row r="16" spans="1:10" ht="15.75">
      <c r="A16" s="206" t="s">
        <v>456</v>
      </c>
      <c r="B16" s="220">
        <v>3.3799999999999997E-2</v>
      </c>
      <c r="C16" s="217">
        <f>+'Beta for CAPM'!I32</f>
        <v>1.2</v>
      </c>
      <c r="D16" s="207">
        <f>+B16*C16</f>
        <v>4.0559999999999992E-2</v>
      </c>
      <c r="E16" s="207">
        <v>4.1399999999999999E-2</v>
      </c>
      <c r="F16" s="208">
        <f>+D16+E16</f>
        <v>8.1959999999999991E-2</v>
      </c>
      <c r="G16" s="12"/>
      <c r="H16" s="12"/>
      <c r="I16" s="12"/>
      <c r="J16" s="12"/>
    </row>
    <row r="17" spans="1:10" ht="15.75">
      <c r="A17" s="206" t="s">
        <v>457</v>
      </c>
      <c r="B17" s="220">
        <v>4.6699999999999998E-2</v>
      </c>
      <c r="C17" s="217">
        <f>+C16</f>
        <v>1.2</v>
      </c>
      <c r="D17" s="207">
        <f>+B17*C17</f>
        <v>5.604E-2</v>
      </c>
      <c r="E17" s="207">
        <v>4.1399999999999999E-2</v>
      </c>
      <c r="F17" s="208">
        <f>+D17+E17</f>
        <v>9.7439999999999999E-2</v>
      </c>
      <c r="G17" s="12"/>
      <c r="H17" s="12"/>
      <c r="I17" s="12"/>
      <c r="J17" s="12"/>
    </row>
    <row r="18" spans="1:10" ht="15.75">
      <c r="A18" s="209"/>
      <c r="B18" s="105"/>
      <c r="C18" s="105"/>
      <c r="D18" s="105"/>
      <c r="E18" s="105"/>
      <c r="F18" s="210"/>
      <c r="G18" s="12"/>
      <c r="H18" s="12"/>
      <c r="I18" s="12"/>
      <c r="J18" s="12"/>
    </row>
    <row r="19" spans="1:10" ht="15.75">
      <c r="A19" s="206" t="s">
        <v>477</v>
      </c>
      <c r="B19" s="220">
        <v>5.9400000000000001E-2</v>
      </c>
      <c r="C19" s="217">
        <f>+C16</f>
        <v>1.2</v>
      </c>
      <c r="D19" s="207">
        <f>+B19*C19</f>
        <v>7.1279999999999996E-2</v>
      </c>
      <c r="E19" s="207">
        <v>4.1399999999999999E-2</v>
      </c>
      <c r="F19" s="208">
        <f>+D19+E19</f>
        <v>0.11268</v>
      </c>
      <c r="G19" s="12"/>
      <c r="H19" s="12"/>
      <c r="I19" s="12"/>
      <c r="J19" s="12"/>
    </row>
    <row r="20" spans="1:10" ht="15.75">
      <c r="A20" s="206" t="s">
        <v>495</v>
      </c>
      <c r="B20" s="220">
        <v>5.8500000000000003E-2</v>
      </c>
      <c r="C20" s="217">
        <f>+C16</f>
        <v>1.2</v>
      </c>
      <c r="D20" s="207">
        <f>+B20*C20</f>
        <v>7.0199999999999999E-2</v>
      </c>
      <c r="E20" s="207">
        <v>4.1399999999999999E-2</v>
      </c>
      <c r="F20" s="208">
        <f>+D20+E20</f>
        <v>0.1116</v>
      </c>
      <c r="G20" s="12"/>
      <c r="H20" s="12"/>
      <c r="I20" s="12"/>
      <c r="J20" s="12"/>
    </row>
    <row r="21" spans="1:10" ht="15.75">
      <c r="A21" s="206" t="s">
        <v>478</v>
      </c>
      <c r="B21" s="220">
        <v>5.6800000000000003E-2</v>
      </c>
      <c r="C21" s="217">
        <f>+C16</f>
        <v>1.2</v>
      </c>
      <c r="D21" s="207">
        <f>+B21*C21</f>
        <v>6.8159999999999998E-2</v>
      </c>
      <c r="E21" s="207">
        <v>4.1399999999999999E-2</v>
      </c>
      <c r="F21" s="208">
        <f>+D21+E21</f>
        <v>0.10955999999999999</v>
      </c>
      <c r="G21" s="12"/>
      <c r="H21" s="12"/>
      <c r="I21" s="12"/>
      <c r="J21" s="12"/>
    </row>
    <row r="22" spans="1:10" ht="15.75">
      <c r="A22" s="206" t="s">
        <v>479</v>
      </c>
      <c r="B22" s="220">
        <v>4.8300000000000003E-2</v>
      </c>
      <c r="C22" s="217">
        <f>+C16</f>
        <v>1.2</v>
      </c>
      <c r="D22" s="207">
        <f>+B22*C22</f>
        <v>5.7959999999999998E-2</v>
      </c>
      <c r="E22" s="207">
        <v>4.1399999999999999E-2</v>
      </c>
      <c r="F22" s="208">
        <f>+D22+E22</f>
        <v>9.9360000000000004E-2</v>
      </c>
      <c r="G22" s="12"/>
      <c r="H22" s="12"/>
      <c r="I22" s="12"/>
      <c r="J22" s="12"/>
    </row>
    <row r="23" spans="1:10" ht="15.75">
      <c r="A23" s="206" t="s">
        <v>0</v>
      </c>
      <c r="B23" s="220" t="s">
        <v>0</v>
      </c>
      <c r="C23" s="218" t="s">
        <v>0</v>
      </c>
      <c r="D23" s="207" t="s">
        <v>0</v>
      </c>
      <c r="E23" s="207" t="s">
        <v>0</v>
      </c>
      <c r="F23" s="208" t="s">
        <v>0</v>
      </c>
      <c r="G23" s="12"/>
      <c r="H23" s="12"/>
      <c r="I23" s="12"/>
      <c r="J23" s="12"/>
    </row>
    <row r="24" spans="1:10" ht="15.75">
      <c r="A24" s="206" t="s">
        <v>226</v>
      </c>
      <c r="B24" s="220">
        <v>4.6199999999999998E-2</v>
      </c>
      <c r="C24" s="217">
        <f>+C16</f>
        <v>1.2</v>
      </c>
      <c r="D24" s="207">
        <f>+B24*C24</f>
        <v>5.5439999999999996E-2</v>
      </c>
      <c r="E24" s="207">
        <v>4.1399999999999999E-2</v>
      </c>
      <c r="F24" s="208">
        <f>+D24+E24</f>
        <v>9.6839999999999996E-2</v>
      </c>
      <c r="G24" s="12"/>
      <c r="H24" s="12"/>
      <c r="I24" s="12"/>
      <c r="J24" s="12"/>
    </row>
    <row r="25" spans="1:10" ht="15.75">
      <c r="A25" s="206" t="s">
        <v>0</v>
      </c>
      <c r="B25" s="220" t="s">
        <v>0</v>
      </c>
      <c r="C25" s="218" t="s">
        <v>0</v>
      </c>
      <c r="D25" s="207" t="s">
        <v>0</v>
      </c>
      <c r="E25" s="207" t="s">
        <v>0</v>
      </c>
      <c r="F25" s="208" t="s">
        <v>0</v>
      </c>
      <c r="G25" s="12"/>
      <c r="H25" s="12"/>
      <c r="I25" s="12"/>
      <c r="J25" s="12"/>
    </row>
    <row r="26" spans="1:10" ht="15.75">
      <c r="A26" s="206" t="s">
        <v>496</v>
      </c>
      <c r="B26" s="220">
        <v>5.6000000000000001E-2</v>
      </c>
      <c r="C26" s="217">
        <f>+C16</f>
        <v>1.2</v>
      </c>
      <c r="D26" s="207">
        <f>+B26*C26</f>
        <v>6.7199999999999996E-2</v>
      </c>
      <c r="E26" s="207">
        <v>4.1399999999999999E-2</v>
      </c>
      <c r="F26" s="208">
        <f>+D26+E26</f>
        <v>0.1086</v>
      </c>
      <c r="G26" s="12"/>
      <c r="H26" s="12"/>
      <c r="I26" s="12"/>
      <c r="J26" s="12"/>
    </row>
    <row r="27" spans="1:10" ht="15.75">
      <c r="A27" s="206" t="s">
        <v>0</v>
      </c>
      <c r="B27" s="220" t="s">
        <v>0</v>
      </c>
      <c r="C27" s="218" t="s">
        <v>0</v>
      </c>
      <c r="D27" s="207" t="s">
        <v>0</v>
      </c>
      <c r="E27" s="207" t="s">
        <v>0</v>
      </c>
      <c r="F27" s="208" t="s">
        <v>0</v>
      </c>
      <c r="G27" s="12"/>
      <c r="H27" s="12"/>
      <c r="I27" s="12"/>
      <c r="J27" s="12"/>
    </row>
    <row r="28" spans="1:10" ht="15.75">
      <c r="A28" s="206" t="s">
        <v>227</v>
      </c>
      <c r="B28" s="220">
        <v>6.2799999999999995E-2</v>
      </c>
      <c r="C28" s="217">
        <f>+C16</f>
        <v>1.2</v>
      </c>
      <c r="D28" s="207">
        <f>+B28*C28</f>
        <v>7.5359999999999996E-2</v>
      </c>
      <c r="E28" s="207">
        <v>4.1399999999999999E-2</v>
      </c>
      <c r="F28" s="208">
        <f>+D28+E28</f>
        <v>0.11676</v>
      </c>
      <c r="G28" s="12"/>
      <c r="H28" s="12"/>
      <c r="I28" s="12"/>
      <c r="J28" s="12"/>
    </row>
    <row r="29" spans="1:10" ht="15.75">
      <c r="A29" s="206" t="s">
        <v>228</v>
      </c>
      <c r="B29" s="220">
        <v>5.0099999999999999E-2</v>
      </c>
      <c r="C29" s="217">
        <f>+C16</f>
        <v>1.2</v>
      </c>
      <c r="D29" s="207">
        <f>+B29*C29</f>
        <v>6.0119999999999993E-2</v>
      </c>
      <c r="E29" s="207">
        <v>4.1399999999999999E-2</v>
      </c>
      <c r="F29" s="208">
        <f>+D29+E29</f>
        <v>0.10152</v>
      </c>
      <c r="G29" s="12"/>
      <c r="H29" s="12"/>
      <c r="I29" s="12"/>
      <c r="J29" s="12"/>
    </row>
    <row r="30" spans="1:10" ht="15.75">
      <c r="A30" s="206"/>
      <c r="B30" s="220"/>
      <c r="C30" s="217"/>
      <c r="D30" s="207"/>
      <c r="E30" s="207"/>
      <c r="F30" s="208"/>
      <c r="G30" s="12"/>
      <c r="H30" s="12"/>
      <c r="I30" s="12"/>
      <c r="J30" s="12"/>
    </row>
    <row r="31" spans="1:10" ht="15.75">
      <c r="A31" s="206" t="s">
        <v>480</v>
      </c>
      <c r="B31" s="220">
        <v>7.17E-2</v>
      </c>
      <c r="C31" s="217">
        <f>+C16</f>
        <v>1.2</v>
      </c>
      <c r="D31" s="207">
        <f>+B31*C31</f>
        <v>8.6039999999999991E-2</v>
      </c>
      <c r="E31" s="207">
        <v>4.1399999999999999E-2</v>
      </c>
      <c r="F31" s="208">
        <f>+D31+E31</f>
        <v>0.12744</v>
      </c>
      <c r="G31" s="12"/>
      <c r="H31" s="12"/>
      <c r="I31" s="12"/>
      <c r="J31" s="12"/>
    </row>
    <row r="32" spans="1:10" ht="15.75">
      <c r="A32" s="206" t="s">
        <v>481</v>
      </c>
      <c r="B32" s="220">
        <v>6.3500000000000001E-2</v>
      </c>
      <c r="C32" s="217">
        <f>+C17</f>
        <v>1.2</v>
      </c>
      <c r="D32" s="207">
        <f>+B32*C32</f>
        <v>7.6200000000000004E-2</v>
      </c>
      <c r="E32" s="207">
        <v>4.1399999999999999E-2</v>
      </c>
      <c r="F32" s="208">
        <f>+D32+E32</f>
        <v>0.11760000000000001</v>
      </c>
      <c r="G32" s="12"/>
      <c r="H32" s="12"/>
      <c r="I32" s="12"/>
      <c r="J32" s="12"/>
    </row>
    <row r="33" spans="1:10" ht="15.75">
      <c r="A33" s="206" t="s">
        <v>482</v>
      </c>
      <c r="B33" s="220">
        <v>0.06</v>
      </c>
      <c r="C33" s="217">
        <f>+C16</f>
        <v>1.2</v>
      </c>
      <c r="D33" s="207">
        <f>+B33*C33</f>
        <v>7.1999999999999995E-2</v>
      </c>
      <c r="E33" s="207">
        <v>4.1399999999999999E-2</v>
      </c>
      <c r="F33" s="208">
        <f>+D33+E33</f>
        <v>0.1134</v>
      </c>
      <c r="G33" s="12"/>
      <c r="H33" s="12"/>
      <c r="I33" s="12"/>
      <c r="J33" s="12"/>
    </row>
    <row r="34" spans="1:10" ht="15.75">
      <c r="A34" s="206"/>
      <c r="B34" s="220"/>
      <c r="C34" s="217"/>
      <c r="D34" s="207"/>
      <c r="E34" s="207"/>
      <c r="F34" s="208"/>
      <c r="G34" s="12"/>
      <c r="H34" s="12"/>
      <c r="I34" s="12"/>
      <c r="J34" s="12"/>
    </row>
    <row r="35" spans="1:10" ht="15.75">
      <c r="A35" s="206" t="s">
        <v>465</v>
      </c>
      <c r="B35" s="220">
        <v>0.06</v>
      </c>
      <c r="C35" s="217">
        <f>+C16</f>
        <v>1.2</v>
      </c>
      <c r="D35" s="207">
        <f>+B35*C35</f>
        <v>7.1999999999999995E-2</v>
      </c>
      <c r="E35" s="207">
        <v>4.1399999999999999E-2</v>
      </c>
      <c r="F35" s="208">
        <f>+D35+E35</f>
        <v>0.1134</v>
      </c>
      <c r="G35" s="12"/>
      <c r="H35" s="12"/>
      <c r="I35" s="12"/>
      <c r="J35" s="12"/>
    </row>
    <row r="36" spans="1:10" ht="15.75" thickBot="1">
      <c r="A36" s="436"/>
      <c r="B36" s="28"/>
      <c r="C36" s="28"/>
      <c r="D36" s="28"/>
      <c r="E36" s="28"/>
      <c r="F36" s="437"/>
      <c r="G36" s="12"/>
      <c r="H36" s="12"/>
      <c r="I36" s="12"/>
      <c r="J36" s="12"/>
    </row>
    <row r="37" spans="1:10">
      <c r="A37" s="12"/>
      <c r="B37" s="12"/>
      <c r="C37" s="12"/>
      <c r="D37" s="12"/>
      <c r="E37" s="12"/>
      <c r="F37" s="12"/>
      <c r="G37" s="12"/>
      <c r="H37" s="12"/>
      <c r="I37" s="12"/>
      <c r="J37" s="12"/>
    </row>
    <row r="38" spans="1:10" ht="27" customHeight="1" thickBot="1">
      <c r="A38" s="12"/>
      <c r="B38" s="12"/>
      <c r="C38" s="12"/>
      <c r="D38" s="12"/>
      <c r="E38" s="12"/>
      <c r="F38" s="12"/>
      <c r="G38" s="12" t="s">
        <v>0</v>
      </c>
      <c r="H38" s="12"/>
      <c r="I38" s="12"/>
      <c r="J38" s="12"/>
    </row>
    <row r="39" spans="1:10" ht="16.5" thickBot="1">
      <c r="A39" s="166" t="s">
        <v>231</v>
      </c>
      <c r="B39" s="12"/>
      <c r="C39" s="12"/>
      <c r="D39" s="12"/>
      <c r="E39" s="12"/>
      <c r="F39" s="12"/>
      <c r="G39" s="12"/>
      <c r="H39" s="12"/>
      <c r="I39" s="12"/>
      <c r="J39" s="12"/>
    </row>
    <row r="40" spans="1:10" ht="36.75" thickBot="1">
      <c r="A40" s="165" t="s">
        <v>229</v>
      </c>
      <c r="B40" s="164" t="s">
        <v>221</v>
      </c>
      <c r="C40" s="163" t="s">
        <v>233</v>
      </c>
      <c r="D40" s="164" t="s">
        <v>224</v>
      </c>
      <c r="E40" s="164" t="s">
        <v>225</v>
      </c>
      <c r="F40" s="164" t="s">
        <v>451</v>
      </c>
      <c r="G40" s="162" t="s">
        <v>222</v>
      </c>
      <c r="H40" s="12"/>
      <c r="I40" s="12"/>
      <c r="J40" s="12"/>
    </row>
    <row r="41" spans="1:10">
      <c r="A41" s="159"/>
      <c r="B41" s="111"/>
      <c r="C41" s="111"/>
      <c r="D41" s="111"/>
      <c r="E41" s="111"/>
      <c r="F41" s="111"/>
      <c r="G41" s="160"/>
      <c r="H41" s="12"/>
      <c r="I41" s="12"/>
      <c r="J41" s="12"/>
    </row>
    <row r="42" spans="1:10" ht="15.75">
      <c r="A42" s="206" t="s">
        <v>456</v>
      </c>
      <c r="B42" s="220">
        <f>+B16</f>
        <v>3.3799999999999997E-2</v>
      </c>
      <c r="C42" s="216">
        <f>+C16</f>
        <v>1.2</v>
      </c>
      <c r="D42" s="207">
        <f>+B42*C42*0.75</f>
        <v>3.0419999999999996E-2</v>
      </c>
      <c r="E42" s="220">
        <f>+B42*0.25</f>
        <v>8.4499999999999992E-3</v>
      </c>
      <c r="F42" s="207">
        <f>+E16</f>
        <v>4.1399999999999999E-2</v>
      </c>
      <c r="G42" s="208">
        <f>+D42+E42+F42</f>
        <v>8.0269999999999994E-2</v>
      </c>
      <c r="H42" s="12"/>
      <c r="I42" s="12"/>
      <c r="J42" s="12"/>
    </row>
    <row r="43" spans="1:10" ht="15.75">
      <c r="A43" s="206" t="s">
        <v>457</v>
      </c>
      <c r="B43" s="220">
        <f>+B17</f>
        <v>4.6699999999999998E-2</v>
      </c>
      <c r="C43" s="216">
        <f>+C17</f>
        <v>1.2</v>
      </c>
      <c r="D43" s="207">
        <f>+B43*C43*0.75</f>
        <v>4.2029999999999998E-2</v>
      </c>
      <c r="E43" s="220">
        <f>+B43*0.25</f>
        <v>1.1675E-2</v>
      </c>
      <c r="F43" s="207">
        <f>+E17</f>
        <v>4.1399999999999999E-2</v>
      </c>
      <c r="G43" s="208">
        <f>+D43+E43+F43</f>
        <v>9.5104999999999995E-2</v>
      </c>
      <c r="H43" s="12"/>
      <c r="I43" s="12"/>
      <c r="J43" s="12"/>
    </row>
    <row r="44" spans="1:10" ht="15.75">
      <c r="A44" s="209"/>
      <c r="B44" s="105"/>
      <c r="C44" s="105"/>
      <c r="D44" s="105"/>
      <c r="E44" s="105"/>
      <c r="F44" s="105"/>
      <c r="G44" s="210"/>
      <c r="H44" s="12"/>
      <c r="I44" s="12"/>
      <c r="J44" s="12"/>
    </row>
    <row r="45" spans="1:10" ht="15.75">
      <c r="A45" s="206" t="s">
        <v>477</v>
      </c>
      <c r="B45" s="220">
        <f t="shared" ref="B45:C46" si="0">+B19</f>
        <v>5.9400000000000001E-2</v>
      </c>
      <c r="C45" s="216">
        <f t="shared" si="0"/>
        <v>1.2</v>
      </c>
      <c r="D45" s="207">
        <f>+B45*C45*0.75</f>
        <v>5.3459999999999994E-2</v>
      </c>
      <c r="E45" s="220">
        <f>+B45*0.25</f>
        <v>1.485E-2</v>
      </c>
      <c r="F45" s="207">
        <f>+E19</f>
        <v>4.1399999999999999E-2</v>
      </c>
      <c r="G45" s="208">
        <f>+D45+E45+F45</f>
        <v>0.10971</v>
      </c>
      <c r="H45" s="12"/>
      <c r="I45" s="12"/>
      <c r="J45" s="12"/>
    </row>
    <row r="46" spans="1:10" ht="15.75">
      <c r="A46" s="206" t="str">
        <f>+A20</f>
        <v>Damodaran Implied ERP Ex Ante   Avg CF Yield Last 10 Yrs (3)</v>
      </c>
      <c r="B46" s="220">
        <f t="shared" si="0"/>
        <v>5.8500000000000003E-2</v>
      </c>
      <c r="C46" s="216">
        <f t="shared" si="0"/>
        <v>1.2</v>
      </c>
      <c r="D46" s="207">
        <f>+B46*C46*0.75</f>
        <v>5.2650000000000002E-2</v>
      </c>
      <c r="E46" s="220">
        <f>+B46*0.25</f>
        <v>1.4625000000000001E-2</v>
      </c>
      <c r="F46" s="207">
        <f>+E20</f>
        <v>4.1399999999999999E-2</v>
      </c>
      <c r="G46" s="208">
        <f>+D46+E46+F46</f>
        <v>0.10867499999999999</v>
      </c>
      <c r="H46" s="12"/>
      <c r="I46" s="12"/>
      <c r="J46" s="12"/>
    </row>
    <row r="47" spans="1:10" ht="15.75">
      <c r="A47" s="206" t="s">
        <v>478</v>
      </c>
      <c r="B47" s="220">
        <f>+B21</f>
        <v>5.6800000000000003E-2</v>
      </c>
      <c r="C47" s="216">
        <f>+C21</f>
        <v>1.2</v>
      </c>
      <c r="D47" s="207">
        <f>+B47*C47*0.75</f>
        <v>5.1119999999999999E-2</v>
      </c>
      <c r="E47" s="220">
        <f>+B47*0.25</f>
        <v>1.4200000000000001E-2</v>
      </c>
      <c r="F47" s="207">
        <f>+E21</f>
        <v>4.1399999999999999E-2</v>
      </c>
      <c r="G47" s="208">
        <f>+D47+E47+F47</f>
        <v>0.10672000000000001</v>
      </c>
      <c r="H47" s="12"/>
      <c r="I47" s="12"/>
      <c r="J47" s="12"/>
    </row>
    <row r="48" spans="1:10" ht="15.75">
      <c r="A48" s="206" t="s">
        <v>479</v>
      </c>
      <c r="B48" s="220">
        <f>+B22</f>
        <v>4.8300000000000003E-2</v>
      </c>
      <c r="C48" s="216">
        <f>+C22</f>
        <v>1.2</v>
      </c>
      <c r="D48" s="207">
        <f>+B48*C48*0.75</f>
        <v>4.3469999999999995E-2</v>
      </c>
      <c r="E48" s="220">
        <f>+B48*0.25</f>
        <v>1.2075000000000001E-2</v>
      </c>
      <c r="F48" s="207">
        <f>+E22</f>
        <v>4.1399999999999999E-2</v>
      </c>
      <c r="G48" s="208">
        <f>+D48+E48+F48</f>
        <v>9.6945000000000003E-2</v>
      </c>
      <c r="H48" s="12"/>
      <c r="I48" s="12"/>
      <c r="J48" s="12"/>
    </row>
    <row r="49" spans="1:10" ht="15.75">
      <c r="A49" s="206" t="s">
        <v>0</v>
      </c>
      <c r="B49" s="220" t="s">
        <v>0</v>
      </c>
      <c r="C49" s="207" t="s">
        <v>0</v>
      </c>
      <c r="D49" s="207" t="s">
        <v>0</v>
      </c>
      <c r="E49" s="220" t="s">
        <v>0</v>
      </c>
      <c r="F49" s="207" t="s">
        <v>0</v>
      </c>
      <c r="G49" s="208" t="s">
        <v>0</v>
      </c>
      <c r="H49" s="12"/>
      <c r="I49" s="12"/>
      <c r="J49" s="12"/>
    </row>
    <row r="50" spans="1:10" ht="15.75">
      <c r="A50" s="206" t="s">
        <v>226</v>
      </c>
      <c r="B50" s="220">
        <f>+B24</f>
        <v>4.6199999999999998E-2</v>
      </c>
      <c r="C50" s="216">
        <f>+C24</f>
        <v>1.2</v>
      </c>
      <c r="D50" s="207">
        <f>+B50*C50*0.75</f>
        <v>4.1579999999999999E-2</v>
      </c>
      <c r="E50" s="220">
        <f>+B50*0.25</f>
        <v>1.155E-2</v>
      </c>
      <c r="F50" s="207">
        <f>+E24</f>
        <v>4.1399999999999999E-2</v>
      </c>
      <c r="G50" s="208">
        <f>+D50+E50+F50</f>
        <v>9.4530000000000003E-2</v>
      </c>
    </row>
    <row r="51" spans="1:10" ht="15.75">
      <c r="A51" s="206" t="s">
        <v>0</v>
      </c>
      <c r="B51" s="220" t="s">
        <v>0</v>
      </c>
      <c r="C51" s="207" t="s">
        <v>0</v>
      </c>
      <c r="D51" s="207" t="s">
        <v>0</v>
      </c>
      <c r="E51" s="220" t="s">
        <v>0</v>
      </c>
      <c r="F51" s="207" t="s">
        <v>0</v>
      </c>
      <c r="G51" s="208" t="s">
        <v>0</v>
      </c>
    </row>
    <row r="52" spans="1:10" ht="15.75">
      <c r="A52" s="206" t="s">
        <v>496</v>
      </c>
      <c r="B52" s="220">
        <f>+B26</f>
        <v>5.6000000000000001E-2</v>
      </c>
      <c r="C52" s="216">
        <f>+C26</f>
        <v>1.2</v>
      </c>
      <c r="D52" s="207">
        <f>+B52*C52*0.75</f>
        <v>5.04E-2</v>
      </c>
      <c r="E52" s="220">
        <f>+B52*0.25</f>
        <v>1.4E-2</v>
      </c>
      <c r="F52" s="207">
        <f>+E26</f>
        <v>4.1399999999999999E-2</v>
      </c>
      <c r="G52" s="208">
        <f>+D52+E52+F52</f>
        <v>0.10580000000000001</v>
      </c>
    </row>
    <row r="53" spans="1:10" ht="15.75">
      <c r="A53" s="206" t="s">
        <v>0</v>
      </c>
      <c r="B53" s="220" t="s">
        <v>0</v>
      </c>
      <c r="C53" s="207" t="s">
        <v>0</v>
      </c>
      <c r="D53" s="207" t="s">
        <v>0</v>
      </c>
      <c r="E53" s="220" t="s">
        <v>0</v>
      </c>
      <c r="F53" s="207" t="s">
        <v>0</v>
      </c>
      <c r="G53" s="208" t="s">
        <v>0</v>
      </c>
    </row>
    <row r="54" spans="1:10" ht="15.75">
      <c r="A54" s="206" t="s">
        <v>227</v>
      </c>
      <c r="B54" s="220">
        <f>+B28</f>
        <v>6.2799999999999995E-2</v>
      </c>
      <c r="C54" s="216">
        <f>+C28</f>
        <v>1.2</v>
      </c>
      <c r="D54" s="207">
        <f>+B54*C54*0.75</f>
        <v>5.6520000000000001E-2</v>
      </c>
      <c r="E54" s="220">
        <f>+B54*0.25</f>
        <v>1.5699999999999999E-2</v>
      </c>
      <c r="F54" s="207">
        <f>+E28</f>
        <v>4.1399999999999999E-2</v>
      </c>
      <c r="G54" s="208">
        <f>+D54+E54+F54</f>
        <v>0.11362</v>
      </c>
    </row>
    <row r="55" spans="1:10" ht="15.75">
      <c r="A55" s="206" t="s">
        <v>228</v>
      </c>
      <c r="B55" s="220">
        <f>+B29</f>
        <v>5.0099999999999999E-2</v>
      </c>
      <c r="C55" s="216">
        <f>+C29</f>
        <v>1.2</v>
      </c>
      <c r="D55" s="207">
        <f>+B55*C55*0.75</f>
        <v>4.5089999999999991E-2</v>
      </c>
      <c r="E55" s="220">
        <f>+B55*0.25</f>
        <v>1.2525E-2</v>
      </c>
      <c r="F55" s="207">
        <f>+E29</f>
        <v>4.1399999999999999E-2</v>
      </c>
      <c r="G55" s="208">
        <f>+D55+E55+F55</f>
        <v>9.9014999999999992E-2</v>
      </c>
    </row>
    <row r="56" spans="1:10" ht="15.75">
      <c r="A56" s="206"/>
      <c r="B56" s="220"/>
      <c r="C56" s="216"/>
      <c r="D56" s="207"/>
      <c r="E56" s="220"/>
      <c r="F56" s="207"/>
      <c r="G56" s="208"/>
    </row>
    <row r="57" spans="1:10" ht="15.75">
      <c r="A57" s="206" t="s">
        <v>480</v>
      </c>
      <c r="B57" s="220">
        <f t="shared" ref="B57:C59" si="1">+B31</f>
        <v>7.17E-2</v>
      </c>
      <c r="C57" s="216">
        <f t="shared" si="1"/>
        <v>1.2</v>
      </c>
      <c r="D57" s="207">
        <f>+B57*C57*0.75</f>
        <v>6.452999999999999E-2</v>
      </c>
      <c r="E57" s="220">
        <f>+B57*0.25</f>
        <v>1.7925E-2</v>
      </c>
      <c r="F57" s="207">
        <f>+E31</f>
        <v>4.1399999999999999E-2</v>
      </c>
      <c r="G57" s="208">
        <f>+D57+E57+F57</f>
        <v>0.12385499999999999</v>
      </c>
    </row>
    <row r="58" spans="1:10" ht="15.75">
      <c r="A58" s="206" t="s">
        <v>481</v>
      </c>
      <c r="B58" s="220">
        <f t="shared" si="1"/>
        <v>6.3500000000000001E-2</v>
      </c>
      <c r="C58" s="216">
        <f t="shared" si="1"/>
        <v>1.2</v>
      </c>
      <c r="D58" s="207">
        <f>+B58*C58*0.75</f>
        <v>5.7150000000000006E-2</v>
      </c>
      <c r="E58" s="220">
        <f>+B58*0.25</f>
        <v>1.5875E-2</v>
      </c>
      <c r="F58" s="207">
        <f>+E32</f>
        <v>4.1399999999999999E-2</v>
      </c>
      <c r="G58" s="208">
        <f>+D58+E58+F58</f>
        <v>0.114425</v>
      </c>
    </row>
    <row r="59" spans="1:10" ht="15.75">
      <c r="A59" s="206" t="s">
        <v>482</v>
      </c>
      <c r="B59" s="220">
        <f t="shared" si="1"/>
        <v>0.06</v>
      </c>
      <c r="C59" s="216">
        <f t="shared" si="1"/>
        <v>1.2</v>
      </c>
      <c r="D59" s="207">
        <f>+B59*C59*0.75</f>
        <v>5.3999999999999992E-2</v>
      </c>
      <c r="E59" s="220">
        <f>+B59*0.25</f>
        <v>1.4999999999999999E-2</v>
      </c>
      <c r="F59" s="207">
        <f>+E33</f>
        <v>4.1399999999999999E-2</v>
      </c>
      <c r="G59" s="208">
        <f>+D59+E59+F59</f>
        <v>0.1104</v>
      </c>
    </row>
    <row r="60" spans="1:10" ht="15.75">
      <c r="A60" s="206"/>
      <c r="B60" s="220"/>
      <c r="C60" s="216"/>
      <c r="D60" s="207"/>
      <c r="E60" s="220"/>
      <c r="F60" s="207"/>
      <c r="G60" s="208"/>
    </row>
    <row r="61" spans="1:10" ht="15.75">
      <c r="A61" s="206" t="s">
        <v>465</v>
      </c>
      <c r="B61" s="220">
        <f>+B35</f>
        <v>0.06</v>
      </c>
      <c r="C61" s="216">
        <f>+C35</f>
        <v>1.2</v>
      </c>
      <c r="D61" s="207">
        <f>+B61*C61*0.75</f>
        <v>5.3999999999999992E-2</v>
      </c>
      <c r="E61" s="220">
        <f>+B61*0.25</f>
        <v>1.4999999999999999E-2</v>
      </c>
      <c r="F61" s="207">
        <f>+E35</f>
        <v>4.1399999999999999E-2</v>
      </c>
      <c r="G61" s="208">
        <f>+D61+E61+F61</f>
        <v>0.1104</v>
      </c>
    </row>
    <row r="62" spans="1:10" ht="15.75" thickBot="1">
      <c r="A62" s="311"/>
      <c r="B62" s="157"/>
      <c r="C62" s="157"/>
      <c r="D62" s="157"/>
      <c r="E62" s="157"/>
      <c r="F62" s="157"/>
      <c r="G62" s="312"/>
    </row>
    <row r="64" spans="1:10" ht="15.75">
      <c r="A64" s="62" t="s">
        <v>73</v>
      </c>
      <c r="E64" s="219" t="s">
        <v>0</v>
      </c>
    </row>
    <row r="65" spans="1:7">
      <c r="A65" s="167" t="s">
        <v>0</v>
      </c>
      <c r="E65" s="219" t="s">
        <v>0</v>
      </c>
    </row>
    <row r="66" spans="1:7">
      <c r="A66" s="43" t="s">
        <v>466</v>
      </c>
      <c r="B66" s="12"/>
      <c r="C66" s="12"/>
      <c r="D66" s="12"/>
      <c r="E66" s="12"/>
      <c r="F66" s="12"/>
      <c r="G66" s="12"/>
    </row>
    <row r="67" spans="1:7">
      <c r="A67" s="43" t="s">
        <v>0</v>
      </c>
      <c r="B67" s="12"/>
      <c r="C67" s="12"/>
      <c r="D67" s="12"/>
      <c r="E67" s="12"/>
      <c r="F67" s="12"/>
      <c r="G67" s="12"/>
    </row>
    <row r="68" spans="1:7">
      <c r="A68" s="43" t="s">
        <v>467</v>
      </c>
      <c r="B68" s="12"/>
      <c r="C68" s="12"/>
      <c r="D68" s="12"/>
      <c r="E68" s="12"/>
      <c r="F68" s="12"/>
      <c r="G68" s="12"/>
    </row>
    <row r="69" spans="1:7">
      <c r="A69" s="154" t="s">
        <v>468</v>
      </c>
      <c r="C69" s="12"/>
      <c r="D69" s="12"/>
      <c r="E69" s="12"/>
      <c r="F69" s="12"/>
      <c r="G69" s="12"/>
    </row>
    <row r="70" spans="1:7">
      <c r="A70" s="43" t="s">
        <v>0</v>
      </c>
      <c r="B70" s="12"/>
      <c r="C70" s="12"/>
      <c r="D70" s="12"/>
      <c r="E70" s="12"/>
      <c r="F70" s="12"/>
      <c r="G70" s="12"/>
    </row>
    <row r="71" spans="1:7">
      <c r="A71" s="43" t="s">
        <v>497</v>
      </c>
      <c r="B71" s="12"/>
      <c r="C71" s="12"/>
      <c r="D71" s="12"/>
      <c r="E71" s="12"/>
      <c r="F71" s="12"/>
      <c r="G71" s="12"/>
    </row>
    <row r="72" spans="1:7">
      <c r="A72" s="154" t="s">
        <v>469</v>
      </c>
      <c r="B72" s="12"/>
      <c r="C72" s="12"/>
      <c r="D72" s="12"/>
      <c r="E72" s="12"/>
      <c r="F72" s="12"/>
      <c r="G72" s="12"/>
    </row>
    <row r="73" spans="1:7">
      <c r="A73" s="43"/>
      <c r="B73" s="12"/>
      <c r="C73" s="12"/>
      <c r="D73" s="12"/>
      <c r="E73" s="12"/>
      <c r="F73" s="12"/>
      <c r="G73" s="12"/>
    </row>
    <row r="74" spans="1:7">
      <c r="A74" s="43" t="s">
        <v>498</v>
      </c>
      <c r="B74" s="12"/>
      <c r="C74" s="12"/>
      <c r="D74" s="12"/>
      <c r="E74" s="12"/>
      <c r="F74" s="12"/>
      <c r="G74" s="12"/>
    </row>
    <row r="75" spans="1:7">
      <c r="A75" s="154" t="s">
        <v>470</v>
      </c>
      <c r="B75" s="12"/>
      <c r="C75" s="12"/>
      <c r="D75" s="12"/>
      <c r="E75" s="12"/>
      <c r="F75" s="12"/>
      <c r="G75" s="12"/>
    </row>
    <row r="76" spans="1:7">
      <c r="A76" s="43"/>
      <c r="B76" s="12"/>
      <c r="C76" s="12"/>
      <c r="D76" s="12"/>
      <c r="E76" s="12"/>
      <c r="F76" s="12"/>
      <c r="G76" s="12"/>
    </row>
    <row r="77" spans="1:7">
      <c r="A77" s="43" t="s">
        <v>378</v>
      </c>
      <c r="B77" s="12"/>
      <c r="C77" s="12"/>
      <c r="D77" s="12"/>
      <c r="E77" s="12"/>
      <c r="F77" s="12"/>
      <c r="G77" s="12"/>
    </row>
    <row r="78" spans="1:7">
      <c r="A78" s="154" t="s">
        <v>471</v>
      </c>
      <c r="B78" s="12"/>
      <c r="C78" s="12"/>
      <c r="D78" s="12"/>
      <c r="E78" s="12"/>
      <c r="F78" s="12"/>
      <c r="G78" s="12"/>
    </row>
    <row r="79" spans="1:7">
      <c r="A79" s="167"/>
    </row>
    <row r="80" spans="1:7">
      <c r="A80" s="43" t="s">
        <v>458</v>
      </c>
    </row>
    <row r="81" spans="1:7">
      <c r="A81" s="43" t="s">
        <v>0</v>
      </c>
    </row>
    <row r="82" spans="1:7">
      <c r="A82" s="43" t="s">
        <v>472</v>
      </c>
    </row>
    <row r="83" spans="1:7">
      <c r="A83" s="154" t="s">
        <v>473</v>
      </c>
    </row>
    <row r="84" spans="1:7" ht="18.75" thickBot="1">
      <c r="A84" s="158"/>
      <c r="B84" s="158"/>
      <c r="C84" s="158"/>
      <c r="D84" s="28"/>
      <c r="E84" s="36"/>
      <c r="F84" s="28"/>
      <c r="G84" s="157"/>
    </row>
  </sheetData>
  <hyperlinks>
    <hyperlink ref="A83" r:id="rId1" xr:uid="{239A6E03-7651-4B11-ADCB-BA1460553C37}"/>
    <hyperlink ref="A75" r:id="rId2" xr:uid="{811D6A87-9D7D-4958-B34F-3D32AD50F6CA}"/>
    <hyperlink ref="A78" r:id="rId3" xr:uid="{59F04877-BE28-4AB5-89A4-21C0E33A9CFE}"/>
    <hyperlink ref="A72" r:id="rId4" xr:uid="{D8CF18E0-8897-4E3A-9E87-926B467E1A9B}"/>
    <hyperlink ref="A69" r:id="rId5" xr:uid="{8DD7970E-F521-43E8-B260-0415B1302A7A}"/>
  </hyperlinks>
  <pageMargins left="0.25" right="0.25" top="0.75" bottom="0.75" header="0.3" footer="0.3"/>
  <pageSetup scale="4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47"/>
  <sheetViews>
    <sheetView view="pageBreakPreview" zoomScale="70" zoomScaleNormal="80" zoomScaleSheetLayoutView="70" workbookViewId="0">
      <selection activeCell="A7" sqref="A7"/>
    </sheetView>
  </sheetViews>
  <sheetFormatPr defaultRowHeight="15"/>
  <cols>
    <col min="1" max="1" width="45.140625" customWidth="1"/>
    <col min="2" max="2" width="10.85546875" bestFit="1" customWidth="1"/>
    <col min="3" max="3" width="24"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0.25">
      <c r="A1" s="23" t="s">
        <v>1</v>
      </c>
      <c r="B1" s="12"/>
      <c r="C1" s="12"/>
      <c r="D1" s="12"/>
      <c r="E1" s="12"/>
      <c r="F1" s="12"/>
      <c r="G1" s="12"/>
      <c r="H1" s="12"/>
      <c r="I1" s="12"/>
      <c r="J1" s="12"/>
      <c r="K1" s="12"/>
    </row>
    <row r="2" spans="1:11" ht="15.75">
      <c r="A2" s="24" t="s">
        <v>9</v>
      </c>
      <c r="B2" s="12"/>
      <c r="C2" s="12"/>
      <c r="D2" s="12"/>
      <c r="E2" s="12"/>
      <c r="F2" s="12"/>
      <c r="G2" s="12"/>
      <c r="H2" s="12"/>
      <c r="I2" s="12"/>
      <c r="J2" s="12"/>
      <c r="K2" s="12"/>
    </row>
    <row r="3" spans="1:11">
      <c r="A3" s="25" t="s">
        <v>63</v>
      </c>
      <c r="B3" s="12"/>
      <c r="C3" s="12"/>
      <c r="D3" s="12"/>
      <c r="E3" s="12"/>
      <c r="F3" s="12"/>
      <c r="G3" s="12"/>
      <c r="H3" s="12"/>
      <c r="I3" s="12"/>
      <c r="J3" s="12"/>
      <c r="K3" s="12"/>
    </row>
    <row r="4" spans="1:11">
      <c r="A4" s="25"/>
      <c r="B4" s="12"/>
      <c r="C4" s="12"/>
      <c r="D4" s="12"/>
      <c r="E4" s="12"/>
      <c r="F4" s="12"/>
      <c r="G4" s="12"/>
      <c r="H4" s="12"/>
      <c r="I4" s="12"/>
      <c r="J4" s="12"/>
      <c r="K4" s="12"/>
    </row>
    <row r="5" spans="1:11" ht="15.75" thickBot="1">
      <c r="A5" s="12"/>
      <c r="B5" s="12"/>
      <c r="C5" s="12"/>
      <c r="D5" s="12"/>
      <c r="E5" s="12"/>
      <c r="F5" s="12" t="s">
        <v>0</v>
      </c>
      <c r="G5" s="12"/>
      <c r="H5" s="26"/>
      <c r="I5" s="12"/>
      <c r="J5" s="12"/>
      <c r="K5" s="12"/>
    </row>
    <row r="6" spans="1:11" ht="16.5" thickBot="1">
      <c r="A6" s="280" t="str">
        <f>+'S&amp;D'!A12</f>
        <v>Natural Gas Transmission Pipeline Carrier</v>
      </c>
      <c r="B6" s="205"/>
      <c r="C6" s="12"/>
      <c r="D6" s="28"/>
      <c r="E6" s="28"/>
      <c r="F6" s="28"/>
      <c r="G6" s="29" t="s">
        <v>0</v>
      </c>
      <c r="H6" s="28"/>
      <c r="I6" s="12"/>
      <c r="J6" s="12"/>
      <c r="K6" s="12"/>
    </row>
    <row r="7" spans="1:11" ht="20.25">
      <c r="A7" s="30"/>
      <c r="B7" s="12"/>
      <c r="C7" s="12"/>
      <c r="D7" s="12"/>
      <c r="E7" s="12"/>
      <c r="F7" s="31" t="s">
        <v>181</v>
      </c>
      <c r="G7" s="12"/>
      <c r="H7" s="12"/>
      <c r="I7" s="12"/>
      <c r="J7" s="12"/>
      <c r="K7" s="12"/>
    </row>
    <row r="8" spans="1:11" ht="18.75" thickBot="1">
      <c r="A8" s="30"/>
      <c r="B8" s="12"/>
      <c r="C8" s="12"/>
      <c r="D8" s="28"/>
      <c r="E8" s="28"/>
      <c r="F8" s="32" t="s">
        <v>77</v>
      </c>
      <c r="G8" s="28"/>
      <c r="H8" s="28"/>
      <c r="I8" s="12"/>
      <c r="J8" s="12"/>
      <c r="K8" s="12"/>
    </row>
    <row r="9" spans="1:11" ht="15.75" thickBot="1">
      <c r="A9" s="33" t="s">
        <v>0</v>
      </c>
      <c r="B9" s="33" t="s">
        <v>0</v>
      </c>
      <c r="C9" s="33" t="s">
        <v>0</v>
      </c>
      <c r="D9" s="28"/>
      <c r="E9" s="33"/>
      <c r="F9" s="33" t="s">
        <v>0</v>
      </c>
      <c r="G9" s="33"/>
      <c r="H9" s="28"/>
      <c r="I9" s="28"/>
      <c r="J9" s="28"/>
      <c r="K9" s="12"/>
    </row>
    <row r="10" spans="1:11">
      <c r="A10" s="34" t="s">
        <v>0</v>
      </c>
      <c r="B10" s="34" t="s">
        <v>3</v>
      </c>
      <c r="C10" s="34" t="s">
        <v>5</v>
      </c>
      <c r="D10" s="34" t="s">
        <v>170</v>
      </c>
      <c r="E10" s="34" t="s">
        <v>12</v>
      </c>
      <c r="F10" s="34" t="s">
        <v>182</v>
      </c>
      <c r="G10" s="34" t="s">
        <v>183</v>
      </c>
      <c r="H10" s="34" t="s">
        <v>183</v>
      </c>
      <c r="I10" s="34" t="s">
        <v>178</v>
      </c>
      <c r="J10" s="34" t="s">
        <v>178</v>
      </c>
      <c r="K10" s="12"/>
    </row>
    <row r="11" spans="1:11">
      <c r="A11" s="34" t="s">
        <v>2</v>
      </c>
      <c r="B11" s="34" t="s">
        <v>4</v>
      </c>
      <c r="C11" s="34" t="s">
        <v>6</v>
      </c>
      <c r="D11" s="34" t="s">
        <v>211</v>
      </c>
      <c r="E11" s="34" t="s">
        <v>14</v>
      </c>
      <c r="F11" s="34" t="s">
        <v>425</v>
      </c>
      <c r="G11" s="34" t="s">
        <v>212</v>
      </c>
      <c r="H11" s="34" t="s">
        <v>213</v>
      </c>
      <c r="I11" s="34" t="s">
        <v>173</v>
      </c>
      <c r="J11" s="34" t="s">
        <v>176</v>
      </c>
      <c r="K11" s="12"/>
    </row>
    <row r="12" spans="1:11">
      <c r="A12" s="34"/>
      <c r="B12" s="34"/>
      <c r="C12" s="34"/>
      <c r="D12" s="34"/>
      <c r="E12" s="34"/>
      <c r="F12" s="35" t="s">
        <v>0</v>
      </c>
      <c r="G12" s="35" t="s">
        <v>427</v>
      </c>
      <c r="H12" s="35" t="s">
        <v>427</v>
      </c>
      <c r="I12" s="34"/>
      <c r="J12" s="34"/>
      <c r="K12" s="12"/>
    </row>
    <row r="13" spans="1:11" ht="15.75" thickBot="1">
      <c r="A13" s="36" t="s">
        <v>24</v>
      </c>
      <c r="B13" s="37" t="s">
        <v>92</v>
      </c>
      <c r="C13" s="37" t="s">
        <v>93</v>
      </c>
      <c r="D13" s="37" t="s">
        <v>94</v>
      </c>
      <c r="E13" s="37" t="s">
        <v>95</v>
      </c>
      <c r="F13" s="37" t="s">
        <v>96</v>
      </c>
      <c r="G13" s="37" t="s">
        <v>97</v>
      </c>
      <c r="H13" s="37" t="s">
        <v>98</v>
      </c>
      <c r="I13" s="37" t="s">
        <v>179</v>
      </c>
      <c r="J13" s="37" t="s">
        <v>180</v>
      </c>
      <c r="K13" s="12"/>
    </row>
    <row r="14" spans="1:11">
      <c r="A14" s="38" t="s">
        <v>7</v>
      </c>
      <c r="B14" s="38" t="s">
        <v>7</v>
      </c>
      <c r="C14" s="38" t="s">
        <v>7</v>
      </c>
      <c r="D14" s="39" t="s">
        <v>116</v>
      </c>
      <c r="E14" s="39"/>
      <c r="F14" s="38" t="s">
        <v>0</v>
      </c>
      <c r="G14" s="38" t="s">
        <v>7</v>
      </c>
      <c r="H14" s="38" t="s">
        <v>7</v>
      </c>
      <c r="I14" s="38" t="s">
        <v>15</v>
      </c>
      <c r="J14" s="38" t="s">
        <v>15</v>
      </c>
      <c r="K14" s="12"/>
    </row>
    <row r="15" spans="1:11">
      <c r="A15" s="34"/>
      <c r="B15" s="34"/>
      <c r="C15" s="34"/>
      <c r="D15" s="34"/>
      <c r="E15" s="34"/>
      <c r="F15" s="34"/>
      <c r="G15" s="34"/>
      <c r="H15" s="12"/>
      <c r="I15" s="12"/>
      <c r="J15" s="12"/>
      <c r="K15" s="12"/>
    </row>
    <row r="16" spans="1:11">
      <c r="A16" s="12"/>
      <c r="B16" s="12"/>
      <c r="C16" s="12"/>
      <c r="D16" s="12"/>
      <c r="E16" s="12"/>
      <c r="F16" s="12"/>
      <c r="G16" s="12"/>
      <c r="H16" s="12"/>
      <c r="I16" s="12"/>
      <c r="J16" s="12"/>
      <c r="K16" s="12"/>
    </row>
    <row r="17" spans="1:11" ht="15.75">
      <c r="A17" s="62" t="str">
        <f>+'S&amp;D'!A22</f>
        <v>DCP Midstream LP</v>
      </c>
      <c r="B17" s="89" t="str">
        <f>+'S&amp;D'!B22</f>
        <v>DCP</v>
      </c>
      <c r="C17" s="89" t="str">
        <f>+'S&amp;D'!C22</f>
        <v>Pipeline MLPs</v>
      </c>
      <c r="D17" s="59">
        <f>+'S&amp;D'!G22</f>
        <v>38.79</v>
      </c>
      <c r="E17" s="60">
        <f>+'S&amp;D'!D39</f>
        <v>8083702484.8199997</v>
      </c>
      <c r="F17" s="53">
        <f>+'Dividends '!H16</f>
        <v>7.2183552461974734E-2</v>
      </c>
      <c r="G17" s="53">
        <v>9.5000000000000001E-2</v>
      </c>
      <c r="H17" s="424">
        <v>0</v>
      </c>
      <c r="I17" s="341">
        <f>+F17+G17</f>
        <v>0.16718355246197475</v>
      </c>
      <c r="J17" s="341">
        <f>+F17+H17</f>
        <v>7.2183552461974734E-2</v>
      </c>
      <c r="K17" s="12"/>
    </row>
    <row r="18" spans="1:11" ht="15.75">
      <c r="A18" s="62" t="str">
        <f>+'S&amp;D'!A23</f>
        <v>Enbridge Inc</v>
      </c>
      <c r="B18" s="89" t="str">
        <f>+'S&amp;D'!B23</f>
        <v>ENB.TO</v>
      </c>
      <c r="C18" s="89" t="str">
        <f>+'S&amp;D'!C23</f>
        <v>Oil &amp; Gas Distribution</v>
      </c>
      <c r="D18" s="59">
        <f>+'S&amp;D'!G23</f>
        <v>52.92</v>
      </c>
      <c r="E18" s="60">
        <f>+'S&amp;D'!D40</f>
        <v>107163000000</v>
      </c>
      <c r="F18" s="53">
        <f>+'Dividends '!H17</f>
        <v>6.7082388510959934E-2</v>
      </c>
      <c r="G18" s="53">
        <v>0.03</v>
      </c>
      <c r="H18" s="53">
        <v>0.1</v>
      </c>
      <c r="I18" s="341">
        <f t="shared" ref="I18:I22" si="0">+F18+G18</f>
        <v>9.7082388510959933E-2</v>
      </c>
      <c r="J18" s="341">
        <f t="shared" ref="J18:J22" si="1">+F18+H18</f>
        <v>0.16708238851095994</v>
      </c>
      <c r="K18" s="12"/>
    </row>
    <row r="19" spans="1:11" ht="15.75">
      <c r="A19" s="62" t="str">
        <f>+'S&amp;D'!A24</f>
        <v>Energy Transfer LP</v>
      </c>
      <c r="B19" s="89" t="str">
        <f>+'S&amp;D'!B24</f>
        <v>ET</v>
      </c>
      <c r="C19" s="89" t="str">
        <f>+'S&amp;D'!C24</f>
        <v>Pipeline MLPs</v>
      </c>
      <c r="D19" s="59">
        <f>+'S&amp;D'!G24</f>
        <v>11.87</v>
      </c>
      <c r="E19" s="60">
        <f>+'S&amp;D'!D41</f>
        <v>36731066506.290001</v>
      </c>
      <c r="F19" s="53">
        <f>+'Dividends '!H18</f>
        <v>7.7506318449873643E-2</v>
      </c>
      <c r="G19" s="53">
        <v>0.04</v>
      </c>
      <c r="H19" s="53">
        <v>0.1</v>
      </c>
      <c r="I19" s="341">
        <f t="shared" si="0"/>
        <v>0.11750631844987364</v>
      </c>
      <c r="J19" s="341">
        <f t="shared" si="1"/>
        <v>0.17750631844987363</v>
      </c>
      <c r="K19" s="12"/>
    </row>
    <row r="20" spans="1:11" ht="15.75">
      <c r="A20" s="62" t="str">
        <f>+'S&amp;D'!A25</f>
        <v>Enlink Midstream LLC</v>
      </c>
      <c r="B20" s="89" t="str">
        <f>+'S&amp;D'!B25</f>
        <v>ENLC</v>
      </c>
      <c r="C20" s="89" t="str">
        <f>+'S&amp;D'!C25</f>
        <v>Oil &amp; Gas Distribution</v>
      </c>
      <c r="D20" s="59">
        <f>+'S&amp;D'!G25</f>
        <v>12.3</v>
      </c>
      <c r="E20" s="60">
        <f>+'S&amp;D'!D42</f>
        <v>5768461749</v>
      </c>
      <c r="F20" s="53">
        <f>+'Dividends '!H19</f>
        <v>3.6585365853658534E-2</v>
      </c>
      <c r="G20" s="53">
        <v>-0.06</v>
      </c>
      <c r="H20" s="424">
        <v>0</v>
      </c>
      <c r="I20" s="341">
        <f t="shared" si="0"/>
        <v>-2.3414634146341463E-2</v>
      </c>
      <c r="J20" s="341">
        <f t="shared" si="1"/>
        <v>3.6585365853658534E-2</v>
      </c>
      <c r="K20" s="12"/>
    </row>
    <row r="21" spans="1:11" ht="15.75">
      <c r="A21" s="62" t="str">
        <f>+'S&amp;D'!A26</f>
        <v>Enterprise Products Partnership LP</v>
      </c>
      <c r="B21" s="89" t="str">
        <f>+'S&amp;D'!B26</f>
        <v>EPD</v>
      </c>
      <c r="C21" s="89" t="str">
        <f>+'S&amp;D'!C26</f>
        <v>Pipeline MLPs</v>
      </c>
      <c r="D21" s="59">
        <f>+'S&amp;D'!G26</f>
        <v>24.12</v>
      </c>
      <c r="E21" s="60">
        <f>+'S&amp;D'!D43</f>
        <v>52359849089.639999</v>
      </c>
      <c r="F21" s="53">
        <f>+'Dividends '!H20</f>
        <v>8.2918739635157543E-2</v>
      </c>
      <c r="G21" s="53">
        <v>8.5000000000000006E-2</v>
      </c>
      <c r="H21" s="53">
        <v>7.0000000000000007E-2</v>
      </c>
      <c r="I21" s="341">
        <f t="shared" si="0"/>
        <v>0.16791873963515755</v>
      </c>
      <c r="J21" s="341">
        <f t="shared" si="1"/>
        <v>0.15291873963515756</v>
      </c>
      <c r="K21" s="12"/>
    </row>
    <row r="22" spans="1:11" ht="15.75">
      <c r="A22" s="62" t="str">
        <f>+'S&amp;D'!A27</f>
        <v>Kinder Morgan Inc</v>
      </c>
      <c r="B22" s="89" t="str">
        <f>+'S&amp;D'!B27</f>
        <v>KMI</v>
      </c>
      <c r="C22" s="89" t="str">
        <f>+'S&amp;D'!C27</f>
        <v>Oil &amp; Gas Distribution</v>
      </c>
      <c r="D22" s="59">
        <f>+'S&amp;D'!G27</f>
        <v>18.079999999999998</v>
      </c>
      <c r="E22" s="60">
        <f>+'S&amp;D'!D44</f>
        <v>40638083798.079994</v>
      </c>
      <c r="F22" s="53">
        <f>+'Dividends '!H21</f>
        <v>6.3606194690265488E-2</v>
      </c>
      <c r="G22" s="53">
        <v>6.5000000000000002E-2</v>
      </c>
      <c r="H22" s="53">
        <v>0.185</v>
      </c>
      <c r="I22" s="341">
        <f t="shared" si="0"/>
        <v>0.12860619469026549</v>
      </c>
      <c r="J22" s="341">
        <f t="shared" si="1"/>
        <v>0.24860619469026549</v>
      </c>
      <c r="K22" s="12"/>
    </row>
    <row r="23" spans="1:11" ht="15.75">
      <c r="A23" s="62" t="str">
        <f>+'S&amp;D'!A28</f>
        <v>ONEOK Inc</v>
      </c>
      <c r="B23" s="89" t="str">
        <f>+'S&amp;D'!B28</f>
        <v>OKE</v>
      </c>
      <c r="C23" s="89" t="str">
        <f>+'S&amp;D'!C28</f>
        <v>Oil &amp; Gas Distribution</v>
      </c>
      <c r="D23" s="59">
        <f>+'S&amp;D'!G28</f>
        <v>65.7</v>
      </c>
      <c r="E23" s="60">
        <f>+'S&amp;D'!D45</f>
        <v>29378265554.700001</v>
      </c>
      <c r="F23" s="53">
        <f>+'Dividends '!H22</f>
        <v>5.814307458143074E-2</v>
      </c>
      <c r="G23" s="53">
        <v>3.5000000000000003E-2</v>
      </c>
      <c r="H23" s="53">
        <v>0.115</v>
      </c>
      <c r="I23" s="341">
        <f t="shared" ref="I23:I24" si="2">+F23+G23</f>
        <v>9.3143074581430743E-2</v>
      </c>
      <c r="J23" s="341">
        <f t="shared" ref="J23:J24" si="3">+F23+H23</f>
        <v>0.17314307458143074</v>
      </c>
      <c r="K23" s="12"/>
    </row>
    <row r="24" spans="1:11" ht="15.75">
      <c r="A24" s="62" t="str">
        <f>+'S&amp;D'!A29</f>
        <v>TC Energy Corp</v>
      </c>
      <c r="B24" s="89" t="str">
        <f>+'S&amp;D'!B29</f>
        <v>TRP</v>
      </c>
      <c r="C24" s="89" t="str">
        <f>+'S&amp;D'!C29</f>
        <v>Oil &amp; Gas Distribution</v>
      </c>
      <c r="D24" s="59">
        <f>+'S&amp;D'!G29</f>
        <v>39.86</v>
      </c>
      <c r="E24" s="60">
        <f>+'S&amp;D'!D46</f>
        <v>40577480000</v>
      </c>
      <c r="F24" s="53">
        <f>+'Dividends '!H23</f>
        <v>7.0245860511791269E-2</v>
      </c>
      <c r="G24" s="53">
        <v>3.5000000000000003E-2</v>
      </c>
      <c r="H24" s="53">
        <v>7.0000000000000007E-2</v>
      </c>
      <c r="I24" s="341">
        <f t="shared" si="2"/>
        <v>0.10524586051179127</v>
      </c>
      <c r="J24" s="341">
        <f t="shared" si="3"/>
        <v>0.14024586051179128</v>
      </c>
      <c r="K24" s="12"/>
    </row>
    <row r="25" spans="1:11" ht="15.75">
      <c r="A25" s="62" t="str">
        <f>+'S&amp;D'!A30</f>
        <v>Williams Companys Inc</v>
      </c>
      <c r="B25" s="89" t="str">
        <f>+'S&amp;D'!B30</f>
        <v>WMB</v>
      </c>
      <c r="C25" s="89" t="str">
        <f>+'S&amp;D'!C30</f>
        <v>Oil &amp; Gas Distribution</v>
      </c>
      <c r="D25" s="59">
        <f>+'S&amp;D'!G30</f>
        <v>32.9</v>
      </c>
      <c r="E25" s="60">
        <f>+'S&amp;D'!D47</f>
        <v>47211500000</v>
      </c>
      <c r="F25" s="53">
        <f>+'Dividends '!H24</f>
        <v>5.4407294832826754E-2</v>
      </c>
      <c r="G25" s="53">
        <v>0.04</v>
      </c>
      <c r="H25" s="53">
        <v>0.11</v>
      </c>
      <c r="I25" s="341">
        <f>+F25+G25</f>
        <v>9.4407294832826755E-2</v>
      </c>
      <c r="J25" s="341">
        <f>+F25+H25</f>
        <v>0.16440729483282676</v>
      </c>
      <c r="K25" s="12"/>
    </row>
    <row r="26" spans="1:11">
      <c r="A26" s="12"/>
      <c r="B26" s="12"/>
      <c r="C26" s="14" t="s">
        <v>0</v>
      </c>
      <c r="D26" s="15" t="s">
        <v>0</v>
      </c>
      <c r="E26" s="15" t="s">
        <v>46</v>
      </c>
      <c r="F26" s="332">
        <v>8.2899999999999991</v>
      </c>
      <c r="G26" s="16">
        <v>9.5</v>
      </c>
      <c r="H26" s="16">
        <v>18.5</v>
      </c>
      <c r="I26" s="16">
        <v>16.79</v>
      </c>
      <c r="J26" s="16">
        <v>24.86</v>
      </c>
      <c r="K26" s="12"/>
    </row>
    <row r="27" spans="1:11">
      <c r="A27" s="12"/>
      <c r="B27" s="12"/>
      <c r="C27" s="14"/>
      <c r="D27" s="15"/>
      <c r="E27" s="15" t="s">
        <v>47</v>
      </c>
      <c r="F27" s="350">
        <v>3.66</v>
      </c>
      <c r="G27" s="351">
        <v>-6</v>
      </c>
      <c r="H27" s="351">
        <v>7</v>
      </c>
      <c r="I27" s="351">
        <v>-2.34</v>
      </c>
      <c r="J27" s="351">
        <v>3.66</v>
      </c>
      <c r="K27" s="12"/>
    </row>
    <row r="28" spans="1:11">
      <c r="A28" s="12"/>
      <c r="B28" s="12"/>
      <c r="D28" s="17" t="s">
        <v>0</v>
      </c>
      <c r="E28" s="14" t="s">
        <v>18</v>
      </c>
      <c r="F28" s="54">
        <f>MEDIAN(F17:F25)</f>
        <v>6.7082388510959934E-2</v>
      </c>
      <c r="G28" s="333">
        <f>MEDIAN(G17:G25)</f>
        <v>0.04</v>
      </c>
      <c r="H28" s="333">
        <f>MEDIAN(H17:H25)</f>
        <v>0.1</v>
      </c>
      <c r="I28" s="334">
        <f>MEDIAN(I17:I25)</f>
        <v>0.10524586051179127</v>
      </c>
      <c r="J28" s="334">
        <f>MEDIAN(J17:J25)</f>
        <v>0.16440729483282676</v>
      </c>
      <c r="K28" s="12"/>
    </row>
    <row r="29" spans="1:11">
      <c r="A29" s="12"/>
      <c r="B29" s="12"/>
      <c r="D29" s="21" t="s">
        <v>0</v>
      </c>
      <c r="E29" s="14" t="s">
        <v>460</v>
      </c>
      <c r="F29" s="54">
        <f>AVERAGE(F17:F25)</f>
        <v>6.4742087725326525E-2</v>
      </c>
      <c r="G29" s="54">
        <f>AVERAGE(G17:G25)</f>
        <v>4.055555555555556E-2</v>
      </c>
      <c r="H29" s="333">
        <f>AVERAGE(H17:H25)</f>
        <v>8.3333333333333343E-2</v>
      </c>
      <c r="I29" s="334">
        <f>AVERAGE(I17:I25)</f>
        <v>0.10529764328088206</v>
      </c>
      <c r="J29" s="334">
        <f>AVERAGE(J17:J25)</f>
        <v>0.14807542105865984</v>
      </c>
      <c r="K29" s="12"/>
    </row>
    <row r="30" spans="1:11">
      <c r="A30" s="12"/>
      <c r="B30" s="12"/>
      <c r="D30" s="21"/>
      <c r="E30" s="14"/>
      <c r="F30" s="18"/>
      <c r="G30" s="18"/>
      <c r="H30" s="19"/>
      <c r="I30" s="20"/>
      <c r="J30" s="20"/>
      <c r="K30" s="12"/>
    </row>
    <row r="31" spans="1:11" ht="15.75" thickBot="1">
      <c r="A31" s="12"/>
      <c r="B31" s="12"/>
      <c r="C31" s="12"/>
      <c r="D31" s="12"/>
      <c r="E31" s="12"/>
      <c r="F31" s="12"/>
      <c r="G31" s="12"/>
      <c r="H31" s="12"/>
      <c r="I31" s="12"/>
      <c r="J31" s="12"/>
      <c r="K31" s="12"/>
    </row>
    <row r="32" spans="1:11" ht="24" thickBot="1">
      <c r="A32" s="12"/>
      <c r="B32" s="12"/>
      <c r="C32" s="12"/>
      <c r="D32" s="12"/>
      <c r="E32" s="12"/>
      <c r="F32" s="12"/>
      <c r="G32" s="202" t="s">
        <v>185</v>
      </c>
      <c r="H32" s="204"/>
      <c r="I32" s="335">
        <v>0.1053</v>
      </c>
      <c r="J32" s="12"/>
      <c r="K32" s="12"/>
    </row>
    <row r="33" spans="1:11" ht="20.25" customHeight="1" thickBot="1">
      <c r="A33" s="12"/>
      <c r="B33" s="12"/>
      <c r="C33" s="12"/>
      <c r="D33" s="12"/>
      <c r="E33" s="12"/>
      <c r="F33" s="12"/>
      <c r="G33" s="12"/>
      <c r="H33" s="12"/>
      <c r="I33" s="12"/>
      <c r="J33" s="12"/>
      <c r="K33" s="12"/>
    </row>
    <row r="34" spans="1:11" ht="24" thickBot="1">
      <c r="A34" s="12"/>
      <c r="B34" s="12"/>
      <c r="C34" s="12"/>
      <c r="D34" s="12"/>
      <c r="E34" s="12"/>
      <c r="F34" s="12"/>
      <c r="G34" s="202" t="s">
        <v>184</v>
      </c>
      <c r="H34" s="205"/>
      <c r="I34" s="335">
        <v>0.14810000000000001</v>
      </c>
      <c r="J34" s="12"/>
      <c r="K34" s="12"/>
    </row>
    <row r="35" spans="1:11">
      <c r="A35" s="12"/>
      <c r="B35" s="12"/>
      <c r="C35" s="12"/>
      <c r="D35" s="12"/>
      <c r="E35" s="12"/>
      <c r="F35" s="12"/>
      <c r="G35" s="12"/>
      <c r="H35" s="12"/>
      <c r="I35" s="12"/>
      <c r="J35" s="12"/>
    </row>
    <row r="36" spans="1:11" ht="20.25">
      <c r="A36" s="23" t="s">
        <v>380</v>
      </c>
      <c r="B36" s="12"/>
      <c r="C36" s="23" t="s">
        <v>379</v>
      </c>
      <c r="D36" s="12"/>
      <c r="E36" s="12"/>
      <c r="F36" s="12"/>
      <c r="G36" s="12"/>
      <c r="H36" s="12"/>
      <c r="I36" s="12"/>
      <c r="J36" s="12"/>
    </row>
    <row r="37" spans="1:11" ht="15.75">
      <c r="A37" s="62" t="s">
        <v>383</v>
      </c>
      <c r="B37" s="12"/>
      <c r="C37" s="62" t="s">
        <v>383</v>
      </c>
      <c r="D37" s="12"/>
      <c r="E37" s="12"/>
      <c r="F37" s="12"/>
      <c r="G37" s="12"/>
      <c r="H37" s="12"/>
      <c r="I37" s="12"/>
      <c r="J37" s="12"/>
    </row>
    <row r="38" spans="1:11" ht="15.75">
      <c r="A38" s="62" t="s">
        <v>382</v>
      </c>
      <c r="B38" s="12"/>
      <c r="C38" s="62" t="s">
        <v>381</v>
      </c>
      <c r="D38" s="12"/>
      <c r="E38" s="12"/>
      <c r="F38" s="12"/>
      <c r="G38" s="12"/>
      <c r="H38" s="12"/>
      <c r="I38" s="12"/>
      <c r="J38" s="12"/>
    </row>
    <row r="39" spans="1:11">
      <c r="A39" s="43"/>
      <c r="B39" s="12"/>
      <c r="C39" s="43"/>
      <c r="D39" s="12"/>
      <c r="E39" s="12"/>
      <c r="F39" s="12"/>
      <c r="G39" s="12"/>
      <c r="H39" s="12"/>
      <c r="I39" s="12"/>
      <c r="J39" s="12"/>
    </row>
    <row r="40" spans="1:11">
      <c r="A40" s="43"/>
      <c r="B40" s="12"/>
      <c r="C40" s="43"/>
      <c r="D40" s="12"/>
      <c r="E40" s="12"/>
      <c r="F40" s="12"/>
      <c r="G40" s="12"/>
      <c r="H40" s="12"/>
      <c r="I40" s="12"/>
      <c r="J40" s="12"/>
    </row>
    <row r="41" spans="1:11" ht="20.25">
      <c r="A41" s="23" t="s">
        <v>208</v>
      </c>
      <c r="B41" s="12"/>
      <c r="C41" s="23" t="s">
        <v>208</v>
      </c>
      <c r="D41" s="12"/>
      <c r="E41" s="12"/>
      <c r="F41" s="12"/>
      <c r="G41" s="12"/>
      <c r="H41" s="12"/>
      <c r="I41" s="12"/>
      <c r="J41" s="12"/>
    </row>
    <row r="42" spans="1:11">
      <c r="A42" s="43"/>
      <c r="B42" s="12"/>
      <c r="C42" s="43"/>
      <c r="D42" s="12"/>
      <c r="E42" s="12"/>
      <c r="F42" s="12"/>
      <c r="G42" s="12"/>
      <c r="H42" s="12"/>
      <c r="I42" s="12"/>
      <c r="J42" s="12"/>
    </row>
    <row r="43" spans="1:11" ht="15.75">
      <c r="A43" s="62" t="s">
        <v>209</v>
      </c>
      <c r="B43" s="12"/>
      <c r="C43" s="62" t="s">
        <v>209</v>
      </c>
      <c r="D43" s="12"/>
      <c r="E43" s="12"/>
      <c r="F43" s="12"/>
      <c r="G43" s="12"/>
      <c r="H43" s="12"/>
      <c r="I43" s="12"/>
      <c r="J43" s="12"/>
    </row>
    <row r="44" spans="1:11" ht="15.75">
      <c r="A44" s="62" t="s">
        <v>207</v>
      </c>
      <c r="B44" s="12"/>
      <c r="C44" s="62" t="s">
        <v>207</v>
      </c>
      <c r="D44" s="12"/>
      <c r="E44" s="12"/>
      <c r="F44" s="12"/>
      <c r="G44" s="12"/>
      <c r="H44" s="12"/>
      <c r="I44" s="12"/>
      <c r="J44" s="12"/>
    </row>
    <row r="45" spans="1:11" ht="15.75">
      <c r="A45" s="62" t="s">
        <v>210</v>
      </c>
      <c r="B45" s="12"/>
      <c r="C45" s="62" t="s">
        <v>210</v>
      </c>
      <c r="D45" s="12"/>
      <c r="E45" s="12"/>
      <c r="F45" s="12"/>
      <c r="G45" s="12"/>
      <c r="H45" s="12"/>
      <c r="I45" s="12"/>
      <c r="J45" s="12"/>
    </row>
    <row r="46" spans="1:11" ht="15.75">
      <c r="A46" s="62" t="s">
        <v>385</v>
      </c>
      <c r="B46" s="12"/>
      <c r="C46" s="62" t="s">
        <v>384</v>
      </c>
      <c r="D46" s="12"/>
      <c r="E46" s="12"/>
      <c r="F46" s="12"/>
      <c r="G46" s="12"/>
      <c r="H46" s="12"/>
      <c r="I46" s="12"/>
      <c r="J46" s="12"/>
    </row>
    <row r="47" spans="1:11" ht="15.75">
      <c r="A47" s="62"/>
      <c r="B47" s="12"/>
      <c r="C47" s="62"/>
      <c r="D47" s="12"/>
      <c r="E47" s="12"/>
      <c r="F47" s="12"/>
      <c r="G47" s="12"/>
      <c r="H47" s="12"/>
      <c r="I47" s="12"/>
      <c r="J47" s="12"/>
    </row>
  </sheetData>
  <pageMargins left="0.25" right="0.25" top="0.75" bottom="0.75" header="0.3" footer="0.3"/>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09"/>
  <sheetViews>
    <sheetView view="pageBreakPreview" topLeftCell="A6" zoomScale="70" zoomScaleNormal="80" zoomScaleSheetLayoutView="70" workbookViewId="0">
      <selection activeCell="H21" sqref="H21"/>
    </sheetView>
  </sheetViews>
  <sheetFormatPr defaultRowHeight="15"/>
  <cols>
    <col min="1" max="1" width="47.85546875" customWidth="1"/>
    <col min="2" max="2" width="15.28515625" customWidth="1"/>
    <col min="3" max="3" width="24.5703125" customWidth="1"/>
    <col min="4" max="4" width="26.5703125" customWidth="1"/>
    <col min="5" max="5" width="32.28515625" customWidth="1"/>
    <col min="6" max="6" width="22.42578125" customWidth="1"/>
    <col min="7" max="7" width="27" customWidth="1"/>
    <col min="8" max="8" width="39.85546875" customWidth="1"/>
    <col min="9" max="9" width="15.28515625" customWidth="1"/>
    <col min="10" max="10" width="24.5703125" customWidth="1"/>
    <col min="11" max="11" width="24.140625" customWidth="1"/>
    <col min="13" max="13" width="10.5703125" customWidth="1"/>
  </cols>
  <sheetData>
    <row r="1" spans="1:9" ht="20.25">
      <c r="A1" s="23" t="s">
        <v>1</v>
      </c>
      <c r="B1" s="12"/>
      <c r="C1" s="12"/>
      <c r="D1" s="12"/>
      <c r="E1" s="12"/>
      <c r="F1" s="12"/>
      <c r="G1" s="12"/>
      <c r="H1" s="12"/>
      <c r="I1" s="12"/>
    </row>
    <row r="2" spans="1:9" ht="15.75">
      <c r="A2" s="24" t="s">
        <v>9</v>
      </c>
      <c r="B2" s="12"/>
      <c r="C2" s="12"/>
      <c r="D2" s="12"/>
      <c r="E2" s="12"/>
      <c r="F2" s="12"/>
      <c r="G2" s="12"/>
      <c r="H2" s="12"/>
      <c r="I2" s="12"/>
    </row>
    <row r="3" spans="1:9">
      <c r="A3" s="25" t="s">
        <v>63</v>
      </c>
      <c r="B3" s="12"/>
      <c r="C3" s="12"/>
      <c r="D3" s="12"/>
      <c r="E3" s="12"/>
      <c r="F3" s="12"/>
      <c r="G3" s="12"/>
      <c r="H3" s="12"/>
      <c r="I3" s="12"/>
    </row>
    <row r="4" spans="1:9">
      <c r="A4" s="25"/>
      <c r="B4" s="12"/>
      <c r="C4" s="12"/>
      <c r="D4" s="12"/>
      <c r="E4" s="12"/>
      <c r="F4" s="12"/>
      <c r="G4" s="12"/>
      <c r="H4" s="12"/>
      <c r="I4" s="12"/>
    </row>
    <row r="5" spans="1:9" ht="15.75" thickBot="1">
      <c r="A5" s="12"/>
      <c r="B5" s="12"/>
      <c r="C5" s="12"/>
      <c r="D5" s="12"/>
      <c r="E5" s="12"/>
      <c r="F5" s="12"/>
      <c r="G5" s="12"/>
      <c r="H5" s="12"/>
      <c r="I5" s="26"/>
    </row>
    <row r="6" spans="1:9" ht="18.75" thickBot="1">
      <c r="A6" s="278" t="str">
        <f>+'S&amp;D'!A12</f>
        <v>Natural Gas Transmission Pipeline Carrier</v>
      </c>
      <c r="B6" s="205"/>
      <c r="C6" s="12"/>
      <c r="D6" s="12"/>
      <c r="E6" s="12"/>
      <c r="F6" s="12"/>
      <c r="G6" s="12"/>
      <c r="H6" s="12"/>
      <c r="I6" s="12"/>
    </row>
    <row r="7" spans="1:9" ht="18">
      <c r="A7" s="30"/>
      <c r="B7" s="12"/>
      <c r="C7" s="12"/>
      <c r="D7" s="12"/>
      <c r="E7" s="12"/>
      <c r="F7" s="12"/>
      <c r="G7" s="12"/>
      <c r="H7" s="12"/>
      <c r="I7" s="12"/>
    </row>
    <row r="8" spans="1:9" ht="18.75" thickBot="1">
      <c r="A8" s="30"/>
      <c r="B8" s="12"/>
      <c r="C8" s="12"/>
      <c r="D8" s="28"/>
      <c r="E8" s="28"/>
      <c r="F8" s="28"/>
      <c r="G8" s="12"/>
      <c r="H8" s="12"/>
      <c r="I8" s="12"/>
    </row>
    <row r="9" spans="1:9" ht="20.25">
      <c r="A9" s="30"/>
      <c r="B9" s="12"/>
      <c r="C9" s="12"/>
      <c r="D9" s="12"/>
      <c r="E9" s="31" t="s">
        <v>186</v>
      </c>
      <c r="F9" s="12"/>
      <c r="G9" s="12"/>
      <c r="H9" s="12"/>
      <c r="I9" s="12"/>
    </row>
    <row r="10" spans="1:9" ht="18.75" thickBot="1">
      <c r="A10" s="30"/>
      <c r="B10" s="12"/>
      <c r="C10" s="12"/>
      <c r="D10" s="28"/>
      <c r="E10" s="32" t="s">
        <v>77</v>
      </c>
      <c r="F10" s="28"/>
      <c r="G10" s="12"/>
      <c r="H10" s="12"/>
      <c r="I10" s="12"/>
    </row>
    <row r="11" spans="1:9" ht="18">
      <c r="A11" s="30"/>
      <c r="B11" s="12"/>
      <c r="C11" s="12"/>
      <c r="D11" s="12"/>
      <c r="E11" s="12"/>
      <c r="F11" s="34"/>
      <c r="G11" s="34"/>
      <c r="H11" s="12"/>
      <c r="I11" s="12"/>
    </row>
    <row r="12" spans="1:9" ht="18">
      <c r="A12" s="30"/>
      <c r="B12" s="12"/>
      <c r="C12" s="12"/>
      <c r="D12" s="12" t="s">
        <v>0</v>
      </c>
      <c r="E12" s="12"/>
      <c r="F12" s="34"/>
      <c r="G12" s="34"/>
      <c r="H12" s="12"/>
      <c r="I12" s="12"/>
    </row>
    <row r="13" spans="1:9" ht="45.75" customHeight="1" thickBot="1">
      <c r="A13" s="33" t="s">
        <v>0</v>
      </c>
      <c r="B13" s="33" t="s">
        <v>0</v>
      </c>
      <c r="C13" s="33" t="s">
        <v>0</v>
      </c>
      <c r="D13" s="28"/>
      <c r="E13" s="28"/>
      <c r="F13" s="33" t="s">
        <v>0</v>
      </c>
      <c r="G13" s="33"/>
      <c r="H13" s="33"/>
      <c r="I13" s="12"/>
    </row>
    <row r="14" spans="1:9">
      <c r="A14" s="34" t="s">
        <v>0</v>
      </c>
      <c r="B14" s="34" t="s">
        <v>3</v>
      </c>
      <c r="C14" s="34" t="s">
        <v>5</v>
      </c>
      <c r="D14" s="34" t="s">
        <v>182</v>
      </c>
      <c r="E14" s="34" t="s">
        <v>183</v>
      </c>
      <c r="F14" s="34" t="s">
        <v>187</v>
      </c>
      <c r="G14" s="34" t="s">
        <v>19</v>
      </c>
      <c r="H14" s="34" t="s">
        <v>189</v>
      </c>
      <c r="I14" s="12"/>
    </row>
    <row r="15" spans="1:9">
      <c r="A15" s="34" t="s">
        <v>2</v>
      </c>
      <c r="B15" s="34" t="s">
        <v>4</v>
      </c>
      <c r="C15" s="34" t="s">
        <v>6</v>
      </c>
      <c r="D15" s="34" t="s">
        <v>425</v>
      </c>
      <c r="E15" s="34" t="s">
        <v>426</v>
      </c>
      <c r="F15" s="34" t="s">
        <v>131</v>
      </c>
      <c r="G15" s="34" t="s">
        <v>188</v>
      </c>
      <c r="H15" s="34" t="s">
        <v>177</v>
      </c>
      <c r="I15" s="12"/>
    </row>
    <row r="16" spans="1:9">
      <c r="A16" s="34"/>
      <c r="B16" s="34" t="s">
        <v>0</v>
      </c>
      <c r="C16" s="34" t="s">
        <v>0</v>
      </c>
      <c r="D16" s="34" t="s">
        <v>0</v>
      </c>
      <c r="E16" s="35" t="s">
        <v>427</v>
      </c>
      <c r="F16" s="35" t="s">
        <v>0</v>
      </c>
      <c r="G16" s="34" t="s">
        <v>193</v>
      </c>
      <c r="H16" s="35" t="s">
        <v>194</v>
      </c>
      <c r="I16" s="12"/>
    </row>
    <row r="17" spans="1:11" ht="18" customHeight="1" thickBot="1">
      <c r="A17" s="66" t="s">
        <v>0</v>
      </c>
      <c r="B17" s="37" t="s">
        <v>0</v>
      </c>
      <c r="C17" s="37" t="s">
        <v>0</v>
      </c>
      <c r="D17" s="32" t="s">
        <v>191</v>
      </c>
      <c r="E17" s="32" t="s">
        <v>192</v>
      </c>
      <c r="F17" s="32" t="s">
        <v>190</v>
      </c>
      <c r="G17" s="34" t="s">
        <v>97</v>
      </c>
      <c r="H17" s="157"/>
      <c r="I17" s="12"/>
    </row>
    <row r="18" spans="1:11">
      <c r="A18" s="38" t="s">
        <v>0</v>
      </c>
      <c r="B18" s="38" t="s">
        <v>0</v>
      </c>
      <c r="C18" s="38" t="s">
        <v>0</v>
      </c>
      <c r="D18" s="38" t="s">
        <v>7</v>
      </c>
      <c r="E18" s="38" t="s">
        <v>7</v>
      </c>
      <c r="F18" s="38" t="s">
        <v>0</v>
      </c>
      <c r="G18" s="67" t="s">
        <v>0</v>
      </c>
      <c r="H18" s="38" t="s">
        <v>0</v>
      </c>
      <c r="I18" s="12"/>
    </row>
    <row r="19" spans="1:11">
      <c r="A19" s="34"/>
      <c r="B19" s="34"/>
      <c r="C19" s="34"/>
      <c r="D19" s="34"/>
      <c r="E19" s="12"/>
      <c r="F19" s="34"/>
      <c r="G19" s="12"/>
      <c r="H19" s="12"/>
      <c r="I19" s="12"/>
      <c r="J19" t="s">
        <v>0</v>
      </c>
      <c r="K19" t="s">
        <v>0</v>
      </c>
    </row>
    <row r="20" spans="1:11">
      <c r="A20" s="12"/>
      <c r="B20" s="12"/>
      <c r="C20" s="12"/>
      <c r="D20" s="12"/>
      <c r="E20" s="12"/>
      <c r="F20" s="12"/>
      <c r="G20" s="12"/>
      <c r="H20" s="12" t="s">
        <v>0</v>
      </c>
      <c r="I20" s="12"/>
      <c r="J20" t="s">
        <v>0</v>
      </c>
      <c r="K20" t="s">
        <v>0</v>
      </c>
    </row>
    <row r="21" spans="1:11" ht="15.75">
      <c r="A21" s="62" t="str">
        <f>+'S&amp;D'!A22</f>
        <v>DCP Midstream LP</v>
      </c>
      <c r="B21" s="89" t="str">
        <f>+'S&amp;D'!B22</f>
        <v>DCP</v>
      </c>
      <c r="C21" s="34" t="str">
        <f>+'S&amp;D'!C22</f>
        <v>Pipeline MLPs</v>
      </c>
      <c r="D21" s="65">
        <f>+'Dividends '!H16</f>
        <v>7.2183552461974734E-2</v>
      </c>
      <c r="E21" s="65">
        <f>+'Single Stage Div Growth Model'!H17</f>
        <v>0</v>
      </c>
      <c r="F21" s="65">
        <f>+'Growth &amp; Inflation Rates'!F93</f>
        <v>4.1419999999999998E-2</v>
      </c>
      <c r="G21" s="65">
        <f t="shared" ref="G21:G29" si="0">(F21+E21)/2</f>
        <v>2.0709999999999999E-2</v>
      </c>
      <c r="H21" s="65">
        <f>D21*(1+(0.5*G21))+(0.67*E21)+(0.33*F21)</f>
        <v>8.6599613147718482E-2</v>
      </c>
      <c r="I21" s="12"/>
      <c r="J21" t="s">
        <v>0</v>
      </c>
      <c r="K21" t="s">
        <v>0</v>
      </c>
    </row>
    <row r="22" spans="1:11" ht="15.75">
      <c r="A22" s="62" t="str">
        <f>+'S&amp;D'!A23</f>
        <v>Enbridge Inc</v>
      </c>
      <c r="B22" s="89" t="str">
        <f>+'S&amp;D'!B23</f>
        <v>ENB.TO</v>
      </c>
      <c r="C22" s="34" t="str">
        <f>+'S&amp;D'!C23</f>
        <v>Oil &amp; Gas Distribution</v>
      </c>
      <c r="D22" s="65">
        <f>+'Dividends '!H17</f>
        <v>6.7082388510959934E-2</v>
      </c>
      <c r="E22" s="65">
        <f>+'Single Stage Div Growth Model'!H18</f>
        <v>0.1</v>
      </c>
      <c r="F22" s="65">
        <f>+'Growth &amp; Inflation Rates'!F93</f>
        <v>4.1419999999999998E-2</v>
      </c>
      <c r="G22" s="65">
        <f t="shared" ref="G22:G26" si="1">(F22+E22)/2</f>
        <v>7.0709999999999995E-2</v>
      </c>
      <c r="H22" s="65">
        <f t="shared" ref="H22:H26" si="2">D22*(1+(0.5*G22))+(0.67*E22)+(0.33*F22)</f>
        <v>0.15012268635676493</v>
      </c>
      <c r="I22" s="12"/>
    </row>
    <row r="23" spans="1:11" ht="15.75">
      <c r="A23" s="62" t="str">
        <f>+'S&amp;D'!A24</f>
        <v>Energy Transfer LP</v>
      </c>
      <c r="B23" s="89" t="str">
        <f>+'S&amp;D'!B24</f>
        <v>ET</v>
      </c>
      <c r="C23" s="34" t="str">
        <f>+'S&amp;D'!C24</f>
        <v>Pipeline MLPs</v>
      </c>
      <c r="D23" s="65">
        <f>+'Dividends '!H18</f>
        <v>7.7506318449873643E-2</v>
      </c>
      <c r="E23" s="65">
        <f>+'Single Stage Div Growth Model'!H19</f>
        <v>0.1</v>
      </c>
      <c r="F23" s="65">
        <f>+'Growth &amp; Inflation Rates'!F93</f>
        <v>4.1419999999999998E-2</v>
      </c>
      <c r="G23" s="65">
        <f t="shared" si="1"/>
        <v>7.0709999999999995E-2</v>
      </c>
      <c r="H23" s="65">
        <f t="shared" si="2"/>
        <v>0.16091515433866893</v>
      </c>
      <c r="I23" s="12"/>
    </row>
    <row r="24" spans="1:11" ht="15.75">
      <c r="A24" s="62" t="str">
        <f>+'S&amp;D'!A25</f>
        <v>Enlink Midstream LLC</v>
      </c>
      <c r="B24" s="89" t="str">
        <f>+'S&amp;D'!B25</f>
        <v>ENLC</v>
      </c>
      <c r="C24" s="34" t="str">
        <f>+'S&amp;D'!C25</f>
        <v>Oil &amp; Gas Distribution</v>
      </c>
      <c r="D24" s="65">
        <f>+'Dividends '!H19</f>
        <v>3.6585365853658534E-2</v>
      </c>
      <c r="E24" s="65">
        <f>+'Single Stage Div Growth Model'!H20</f>
        <v>0</v>
      </c>
      <c r="F24" s="65">
        <f>+'Growth &amp; Inflation Rates'!F93</f>
        <v>4.1419999999999998E-2</v>
      </c>
      <c r="G24" s="65">
        <f t="shared" si="1"/>
        <v>2.0709999999999999E-2</v>
      </c>
      <c r="H24" s="65">
        <f t="shared" si="2"/>
        <v>5.0632807317073161E-2</v>
      </c>
      <c r="I24" s="12"/>
    </row>
    <row r="25" spans="1:11" ht="15.75">
      <c r="A25" s="62" t="str">
        <f>+'S&amp;D'!A26</f>
        <v>Enterprise Products Partnership LP</v>
      </c>
      <c r="B25" s="89" t="str">
        <f>+'S&amp;D'!B26</f>
        <v>EPD</v>
      </c>
      <c r="C25" s="34" t="str">
        <f>+'S&amp;D'!C26</f>
        <v>Pipeline MLPs</v>
      </c>
      <c r="D25" s="65">
        <f>+'Dividends '!H20</f>
        <v>8.2918739635157543E-2</v>
      </c>
      <c r="E25" s="65">
        <f>+'Single Stage Div Growth Model'!H21</f>
        <v>7.0000000000000007E-2</v>
      </c>
      <c r="F25" s="65">
        <f>+'Growth &amp; Inflation Rates'!F93</f>
        <v>4.1419999999999998E-2</v>
      </c>
      <c r="G25" s="65">
        <f t="shared" si="1"/>
        <v>5.5710000000000003E-2</v>
      </c>
      <c r="H25" s="65">
        <f t="shared" si="2"/>
        <v>0.14579704112769487</v>
      </c>
      <c r="I25" s="12"/>
    </row>
    <row r="26" spans="1:11" ht="15.75">
      <c r="A26" s="62" t="str">
        <f>+'S&amp;D'!A27</f>
        <v>Kinder Morgan Inc</v>
      </c>
      <c r="B26" s="89" t="str">
        <f>+'S&amp;D'!B27</f>
        <v>KMI</v>
      </c>
      <c r="C26" s="34" t="str">
        <f>+'S&amp;D'!C27</f>
        <v>Oil &amp; Gas Distribution</v>
      </c>
      <c r="D26" s="65">
        <f>+'Dividends '!H21</f>
        <v>6.3606194690265488E-2</v>
      </c>
      <c r="E26" s="65">
        <f>+'Single Stage Div Growth Model'!H22</f>
        <v>0.185</v>
      </c>
      <c r="F26" s="65">
        <f>+'Growth &amp; Inflation Rates'!F93</f>
        <v>4.1419999999999998E-2</v>
      </c>
      <c r="G26" s="65">
        <f t="shared" si="1"/>
        <v>0.11321000000000001</v>
      </c>
      <c r="H26" s="65">
        <f t="shared" si="2"/>
        <v>0.20482522334070799</v>
      </c>
      <c r="I26" s="12"/>
    </row>
    <row r="27" spans="1:11" ht="15.75">
      <c r="A27" s="62" t="str">
        <f>+'S&amp;D'!A28</f>
        <v>ONEOK Inc</v>
      </c>
      <c r="B27" s="89" t="str">
        <f>+'S&amp;D'!B28</f>
        <v>OKE</v>
      </c>
      <c r="C27" s="34" t="str">
        <f>+'S&amp;D'!C28</f>
        <v>Oil &amp; Gas Distribution</v>
      </c>
      <c r="D27" s="65">
        <f>+'Dividends '!H22</f>
        <v>5.814307458143074E-2</v>
      </c>
      <c r="E27" s="65">
        <f>+'Single Stage Div Growth Model'!H23</f>
        <v>0.115</v>
      </c>
      <c r="F27" s="65">
        <f>+'Growth &amp; Inflation Rates'!F93</f>
        <v>4.1419999999999998E-2</v>
      </c>
      <c r="G27" s="65">
        <f t="shared" si="0"/>
        <v>7.8210000000000002E-2</v>
      </c>
      <c r="H27" s="65">
        <f t="shared" ref="H27:H29" si="3">D27*(1+(0.5*G27))+(0.67*E27)+(0.33*F27)</f>
        <v>0.15113535951293761</v>
      </c>
      <c r="I27" s="12"/>
      <c r="J27" t="s">
        <v>0</v>
      </c>
      <c r="K27" t="s">
        <v>0</v>
      </c>
    </row>
    <row r="28" spans="1:11" ht="15.75">
      <c r="A28" s="62" t="str">
        <f>+'S&amp;D'!A29</f>
        <v>TC Energy Corp</v>
      </c>
      <c r="B28" s="89" t="str">
        <f>+'S&amp;D'!B29</f>
        <v>TRP</v>
      </c>
      <c r="C28" s="34" t="str">
        <f>+'S&amp;D'!C29</f>
        <v>Oil &amp; Gas Distribution</v>
      </c>
      <c r="D28" s="65">
        <f>+'Dividends '!H23</f>
        <v>7.0245860511791269E-2</v>
      </c>
      <c r="E28" s="65">
        <f>+'Single Stage Div Growth Model'!H24</f>
        <v>7.0000000000000007E-2</v>
      </c>
      <c r="F28" s="65">
        <f>+'Growth &amp; Inflation Rates'!F93</f>
        <v>4.1419999999999998E-2</v>
      </c>
      <c r="G28" s="65">
        <f t="shared" si="0"/>
        <v>5.5710000000000003E-2</v>
      </c>
      <c r="H28" s="65">
        <f t="shared" si="3"/>
        <v>0.13277115895634722</v>
      </c>
      <c r="I28" s="12"/>
      <c r="J28" t="s">
        <v>0</v>
      </c>
      <c r="K28" t="s">
        <v>0</v>
      </c>
    </row>
    <row r="29" spans="1:11" ht="16.5" thickBot="1">
      <c r="A29" s="62" t="str">
        <f>+'S&amp;D'!A30</f>
        <v>Williams Companys Inc</v>
      </c>
      <c r="B29" s="89" t="str">
        <f>+'S&amp;D'!B30</f>
        <v>WMB</v>
      </c>
      <c r="C29" s="34" t="str">
        <f>+'S&amp;D'!C30</f>
        <v>Oil &amp; Gas Distribution</v>
      </c>
      <c r="D29" s="65">
        <f>+'Dividends '!H24</f>
        <v>5.4407294832826754E-2</v>
      </c>
      <c r="E29" s="65">
        <f>+'Single Stage Div Growth Model'!H25</f>
        <v>0.11</v>
      </c>
      <c r="F29" s="65">
        <f>+'Growth &amp; Inflation Rates'!F93</f>
        <v>4.1419999999999998E-2</v>
      </c>
      <c r="G29" s="65">
        <f t="shared" si="0"/>
        <v>7.571E-2</v>
      </c>
      <c r="H29" s="395">
        <f t="shared" si="3"/>
        <v>0.14383548297872342</v>
      </c>
      <c r="I29" s="12"/>
      <c r="J29" t="s">
        <v>0</v>
      </c>
      <c r="K29" t="s">
        <v>0</v>
      </c>
    </row>
    <row r="30" spans="1:11" ht="15.75" thickTop="1">
      <c r="A30" s="12"/>
      <c r="B30" s="12"/>
      <c r="C30" s="12"/>
      <c r="D30" s="12"/>
      <c r="E30" s="12"/>
      <c r="F30" s="12"/>
      <c r="G30" s="197" t="s">
        <v>46</v>
      </c>
      <c r="H30" s="55">
        <v>0.20480000000000001</v>
      </c>
      <c r="I30" s="12"/>
    </row>
    <row r="31" spans="1:11">
      <c r="A31" s="12"/>
      <c r="B31" s="12"/>
      <c r="C31" s="14" t="s">
        <v>0</v>
      </c>
      <c r="D31" s="15" t="s">
        <v>0</v>
      </c>
      <c r="E31" s="15" t="s">
        <v>0</v>
      </c>
      <c r="F31" s="16" t="s">
        <v>0</v>
      </c>
      <c r="G31" s="16" t="s">
        <v>47</v>
      </c>
      <c r="H31" s="324">
        <v>5.0599999999999999E-2</v>
      </c>
      <c r="I31" s="12"/>
    </row>
    <row r="32" spans="1:11">
      <c r="A32" s="12"/>
      <c r="B32" s="12"/>
      <c r="D32" s="55" t="s">
        <v>0</v>
      </c>
      <c r="E32" s="50" t="s">
        <v>0</v>
      </c>
      <c r="F32" s="50" t="s">
        <v>0</v>
      </c>
      <c r="G32" s="14" t="s">
        <v>18</v>
      </c>
      <c r="H32" s="51">
        <f>MEDIAN(H21:H29)</f>
        <v>0.14579704112769487</v>
      </c>
      <c r="I32" s="12"/>
    </row>
    <row r="33" spans="1:9">
      <c r="A33" s="12"/>
      <c r="B33" s="12"/>
      <c r="D33" s="55" t="s">
        <v>0</v>
      </c>
      <c r="E33" s="50" t="s">
        <v>0</v>
      </c>
      <c r="F33" s="55" t="s">
        <v>0</v>
      </c>
      <c r="G33" s="14" t="s">
        <v>460</v>
      </c>
      <c r="H33" s="51">
        <f>AVERAGE(H21:H29)</f>
        <v>0.1362927252307374</v>
      </c>
      <c r="I33" s="12"/>
    </row>
    <row r="34" spans="1:9">
      <c r="A34" s="12"/>
      <c r="B34" s="12"/>
      <c r="C34" s="14"/>
      <c r="D34" s="18"/>
      <c r="E34" s="19"/>
      <c r="F34" s="18"/>
      <c r="G34" s="20"/>
      <c r="H34" s="20"/>
      <c r="I34" s="12"/>
    </row>
    <row r="35" spans="1:9" ht="15.75" thickBot="1">
      <c r="A35" s="12"/>
      <c r="B35" s="12"/>
      <c r="C35" s="12"/>
      <c r="D35" s="12"/>
      <c r="E35" s="12"/>
      <c r="F35" s="12"/>
      <c r="G35" s="12"/>
      <c r="H35" s="12"/>
      <c r="I35" s="12"/>
    </row>
    <row r="36" spans="1:9" ht="24" thickBot="1">
      <c r="A36" s="12"/>
      <c r="B36" s="12"/>
      <c r="C36" s="12"/>
      <c r="D36" s="12"/>
      <c r="F36" s="202"/>
      <c r="G36" s="203" t="s">
        <v>243</v>
      </c>
      <c r="H36" s="337">
        <v>0.1363</v>
      </c>
      <c r="I36" s="12"/>
    </row>
    <row r="37" spans="1:9">
      <c r="A37" s="12"/>
      <c r="B37" s="12"/>
      <c r="C37" s="12"/>
      <c r="D37" s="12"/>
      <c r="E37" s="12"/>
      <c r="F37" s="12"/>
      <c r="G37" s="12"/>
      <c r="H37" s="12"/>
      <c r="I37" s="12"/>
    </row>
    <row r="38" spans="1:9" ht="23.25">
      <c r="A38" s="23" t="s">
        <v>0</v>
      </c>
      <c r="B38" s="12"/>
      <c r="C38" s="12"/>
      <c r="D38" s="12"/>
      <c r="E38" s="12"/>
      <c r="F38" s="12"/>
      <c r="G38" s="22" t="s">
        <v>0</v>
      </c>
      <c r="H38" s="12"/>
      <c r="I38" s="12"/>
    </row>
    <row r="39" spans="1:9">
      <c r="A39" s="43"/>
      <c r="B39" s="12"/>
      <c r="C39" s="12"/>
      <c r="D39" s="12"/>
      <c r="E39" s="12"/>
      <c r="F39" s="12"/>
      <c r="G39" s="12"/>
      <c r="H39" s="12"/>
      <c r="I39" s="12"/>
    </row>
    <row r="40" spans="1:9" ht="20.25">
      <c r="A40" s="23" t="s">
        <v>329</v>
      </c>
      <c r="B40" s="12"/>
      <c r="C40" s="12"/>
      <c r="D40" s="12"/>
      <c r="E40" s="12"/>
      <c r="F40" s="12"/>
      <c r="G40" s="12"/>
      <c r="H40" s="12"/>
      <c r="I40" s="12"/>
    </row>
    <row r="41" spans="1:9">
      <c r="A41" s="43"/>
      <c r="B41" s="12"/>
      <c r="C41" s="12"/>
      <c r="D41" s="12"/>
      <c r="E41" s="12"/>
      <c r="F41" s="12"/>
      <c r="G41" s="12"/>
      <c r="H41" s="12"/>
      <c r="I41" s="12"/>
    </row>
    <row r="42" spans="1:9" ht="15.75">
      <c r="A42" s="62" t="s">
        <v>209</v>
      </c>
      <c r="B42" s="12"/>
      <c r="C42" s="12"/>
      <c r="D42" s="12"/>
      <c r="E42" s="12"/>
      <c r="F42" s="12"/>
      <c r="G42" s="12"/>
      <c r="H42" s="12"/>
      <c r="I42" s="12"/>
    </row>
    <row r="43" spans="1:9" ht="15.75">
      <c r="A43" s="62" t="s">
        <v>332</v>
      </c>
      <c r="B43" s="12"/>
      <c r="C43" s="12"/>
      <c r="D43" s="12"/>
      <c r="E43" s="12"/>
      <c r="F43" s="12"/>
      <c r="G43" s="12"/>
      <c r="H43" s="12"/>
      <c r="I43" s="12"/>
    </row>
    <row r="44" spans="1:9" ht="15.75">
      <c r="A44" s="62" t="s">
        <v>330</v>
      </c>
      <c r="B44" s="12"/>
      <c r="C44" s="12"/>
      <c r="D44" s="12"/>
      <c r="E44" s="12"/>
      <c r="F44" s="12"/>
      <c r="G44" s="12"/>
      <c r="H44" s="12"/>
      <c r="I44" s="12"/>
    </row>
    <row r="45" spans="1:9" ht="15.75">
      <c r="A45" s="62" t="s">
        <v>331</v>
      </c>
      <c r="B45" s="12"/>
      <c r="C45" s="12"/>
      <c r="D45" s="12"/>
      <c r="E45" s="12"/>
      <c r="F45" s="12"/>
      <c r="G45" s="12"/>
      <c r="H45" s="12"/>
      <c r="I45" s="12"/>
    </row>
    <row r="46" spans="1:9" ht="15.75">
      <c r="A46" s="62" t="s">
        <v>333</v>
      </c>
      <c r="B46" s="12"/>
      <c r="C46" s="12"/>
      <c r="D46" s="12"/>
      <c r="E46" s="12"/>
      <c r="F46" s="12"/>
      <c r="G46" s="12"/>
      <c r="H46" s="12"/>
      <c r="I46" s="12"/>
    </row>
    <row r="47" spans="1:9">
      <c r="A47" s="12"/>
      <c r="B47" s="12"/>
      <c r="C47" s="12"/>
      <c r="D47" s="12"/>
      <c r="E47" s="12"/>
      <c r="F47" s="12"/>
      <c r="G47" s="12"/>
      <c r="H47" s="12"/>
      <c r="I47" s="12"/>
    </row>
    <row r="48" spans="1:9">
      <c r="A48" s="12"/>
      <c r="B48" s="12"/>
      <c r="C48" s="12"/>
      <c r="D48" s="12"/>
      <c r="E48" s="12"/>
      <c r="F48" s="12"/>
      <c r="G48" s="12"/>
      <c r="H48" s="12"/>
      <c r="I48" s="12"/>
    </row>
    <row r="49" spans="1:9">
      <c r="A49" s="12"/>
      <c r="B49" s="12"/>
      <c r="C49" s="12"/>
      <c r="D49" s="12"/>
      <c r="E49" s="12"/>
      <c r="F49" s="12"/>
      <c r="G49" s="12"/>
      <c r="H49" s="12"/>
      <c r="I49" s="12"/>
    </row>
    <row r="50" spans="1:9">
      <c r="A50" s="12"/>
      <c r="B50" s="12"/>
      <c r="C50" s="12"/>
      <c r="D50" s="12"/>
      <c r="E50" s="12"/>
      <c r="F50" s="12"/>
      <c r="G50" s="12"/>
      <c r="H50" s="12"/>
      <c r="I50" s="12"/>
    </row>
    <row r="51" spans="1:9">
      <c r="A51" s="12"/>
      <c r="B51" s="12"/>
      <c r="C51" s="12"/>
      <c r="D51" s="12"/>
      <c r="E51" s="12"/>
      <c r="F51" s="12"/>
      <c r="G51" s="12"/>
      <c r="H51" s="12"/>
      <c r="I51" s="12"/>
    </row>
    <row r="52" spans="1:9">
      <c r="A52" s="12"/>
      <c r="B52" s="12"/>
      <c r="C52" s="12"/>
      <c r="D52" s="12"/>
      <c r="E52" s="12"/>
      <c r="F52" s="12"/>
      <c r="G52" s="12"/>
      <c r="H52" s="12"/>
      <c r="I52" s="12"/>
    </row>
    <row r="53" spans="1:9">
      <c r="A53" s="12"/>
      <c r="B53" s="12"/>
      <c r="C53" s="12"/>
      <c r="D53" s="12"/>
      <c r="E53" s="12"/>
      <c r="F53" s="12"/>
      <c r="G53" s="12"/>
      <c r="H53" s="12"/>
      <c r="I53" s="12"/>
    </row>
    <row r="54" spans="1:9">
      <c r="A54" s="12"/>
      <c r="B54" s="12"/>
      <c r="C54" s="12"/>
      <c r="D54" s="12"/>
      <c r="E54" s="12"/>
      <c r="F54" s="12"/>
      <c r="G54" s="12"/>
      <c r="H54" s="12"/>
      <c r="I54" s="12"/>
    </row>
    <row r="55" spans="1:9">
      <c r="A55" s="12"/>
      <c r="B55" s="12"/>
      <c r="C55" s="12"/>
      <c r="D55" s="12"/>
      <c r="E55" s="12"/>
      <c r="F55" s="12"/>
      <c r="G55" s="12"/>
      <c r="H55" s="12"/>
      <c r="I55" s="12"/>
    </row>
    <row r="56" spans="1:9">
      <c r="A56" s="12"/>
      <c r="B56" s="12"/>
      <c r="C56" s="12"/>
      <c r="D56" s="12"/>
      <c r="E56" s="12"/>
      <c r="F56" s="12"/>
      <c r="G56" s="12"/>
      <c r="H56" s="12"/>
      <c r="I56" s="12"/>
    </row>
    <row r="57" spans="1:9">
      <c r="A57" s="12"/>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8509-4469-4CA1-837E-28DCE856C1A1}">
  <sheetPr>
    <tabColor rgb="FF92D050"/>
  </sheetPr>
  <dimension ref="A1:N50"/>
  <sheetViews>
    <sheetView view="pageBreakPreview" zoomScale="60" zoomScaleNormal="80" workbookViewId="0">
      <selection activeCell="A31" sqref="A31"/>
    </sheetView>
  </sheetViews>
  <sheetFormatPr defaultRowHeight="15"/>
  <cols>
    <col min="1" max="1" width="21.5703125" customWidth="1"/>
    <col min="2" max="2" width="45.7109375" customWidth="1"/>
    <col min="3" max="3" width="20.85546875" customWidth="1"/>
    <col min="4" max="4" width="24" customWidth="1"/>
    <col min="5" max="5" width="29.28515625" customWidth="1"/>
    <col min="6" max="6" width="25.5703125" customWidth="1"/>
    <col min="7" max="8" width="27.28515625" customWidth="1"/>
    <col min="9" max="9" width="18.7109375" customWidth="1"/>
    <col min="10" max="10" width="21.28515625" customWidth="1"/>
    <col min="11" max="11" width="4.42578125" customWidth="1"/>
    <col min="12" max="12" width="22.7109375" customWidth="1"/>
    <col min="13" max="13" width="17.28515625" customWidth="1"/>
  </cols>
  <sheetData>
    <row r="1" spans="1:14" ht="20.25">
      <c r="A1" s="23" t="s">
        <v>1</v>
      </c>
      <c r="C1" s="12"/>
      <c r="D1" s="12"/>
      <c r="E1" s="12"/>
      <c r="F1" s="12"/>
      <c r="G1" s="12"/>
      <c r="H1" s="12"/>
      <c r="I1" s="12"/>
      <c r="J1" s="12"/>
      <c r="K1" s="12"/>
      <c r="L1" s="12"/>
      <c r="M1" s="12"/>
      <c r="N1" s="12"/>
    </row>
    <row r="2" spans="1:14" ht="15.75">
      <c r="A2" s="62" t="s">
        <v>9</v>
      </c>
      <c r="C2" s="12"/>
      <c r="D2" s="12"/>
      <c r="E2" s="12"/>
      <c r="F2" s="12"/>
      <c r="G2" s="12"/>
      <c r="H2" s="12"/>
      <c r="I2" s="12"/>
      <c r="J2" s="12"/>
      <c r="K2" s="12"/>
      <c r="L2" s="12"/>
      <c r="M2" s="12"/>
      <c r="N2" s="12"/>
    </row>
    <row r="3" spans="1:14">
      <c r="A3" s="25" t="s">
        <v>63</v>
      </c>
      <c r="C3" s="12"/>
      <c r="D3" s="12"/>
      <c r="E3" s="12"/>
      <c r="F3" s="12"/>
      <c r="G3" s="12"/>
      <c r="H3" s="12"/>
      <c r="I3" s="12"/>
      <c r="J3" s="12"/>
      <c r="K3" s="12"/>
      <c r="L3" s="12"/>
      <c r="M3" s="12"/>
      <c r="N3" s="12"/>
    </row>
    <row r="4" spans="1:14">
      <c r="A4" s="12"/>
      <c r="C4" s="12"/>
      <c r="D4" s="12"/>
      <c r="E4" s="26" t="s">
        <v>0</v>
      </c>
      <c r="F4" s="12"/>
      <c r="G4" s="12"/>
      <c r="H4" s="12"/>
      <c r="I4" s="12"/>
      <c r="J4" s="12"/>
      <c r="K4" s="12"/>
      <c r="L4" s="12"/>
      <c r="M4" s="12"/>
      <c r="N4" s="12"/>
    </row>
    <row r="5" spans="1:14" ht="16.5" thickBot="1">
      <c r="A5" s="62"/>
      <c r="C5" s="12"/>
      <c r="D5" s="12"/>
      <c r="E5" s="12"/>
      <c r="F5" s="12"/>
      <c r="G5" s="12"/>
      <c r="H5" s="12"/>
      <c r="I5" s="12"/>
      <c r="J5" s="12"/>
      <c r="K5" s="12"/>
      <c r="L5" s="12"/>
      <c r="M5" s="12"/>
      <c r="N5" s="12"/>
    </row>
    <row r="6" spans="1:14" ht="18.75" thickBot="1">
      <c r="A6" s="278" t="str">
        <f>+'S&amp;D'!A12</f>
        <v>Natural Gas Transmission Pipeline Carrier</v>
      </c>
      <c r="B6" s="199"/>
      <c r="C6" s="12"/>
      <c r="D6" s="12"/>
      <c r="E6" s="12"/>
      <c r="F6" s="12"/>
      <c r="G6" s="12"/>
      <c r="H6" s="12"/>
    </row>
    <row r="7" spans="1:14" ht="16.5" thickBot="1">
      <c r="A7" s="62"/>
      <c r="C7" s="12"/>
      <c r="D7" s="28"/>
      <c r="E7" s="28"/>
      <c r="F7" s="28"/>
      <c r="G7" s="12"/>
      <c r="H7" s="12"/>
    </row>
    <row r="8" spans="1:14" ht="20.25">
      <c r="C8" s="12"/>
      <c r="D8" s="12"/>
      <c r="E8" s="31" t="s">
        <v>399</v>
      </c>
      <c r="F8" s="12"/>
      <c r="G8" s="12"/>
      <c r="H8" s="12"/>
    </row>
    <row r="9" spans="1:14" ht="18.75" thickBot="1">
      <c r="B9" s="30"/>
      <c r="C9" s="12"/>
      <c r="D9" s="28"/>
      <c r="E9" s="32" t="s">
        <v>77</v>
      </c>
      <c r="F9" s="28"/>
      <c r="G9" s="12"/>
      <c r="H9" s="12"/>
    </row>
    <row r="10" spans="1:14" ht="15.75" thickBot="1">
      <c r="B10" s="33" t="s">
        <v>0</v>
      </c>
      <c r="C10" s="33" t="s">
        <v>0</v>
      </c>
      <c r="D10" s="33" t="s">
        <v>0</v>
      </c>
      <c r="E10" s="33" t="s">
        <v>0</v>
      </c>
      <c r="F10" s="33" t="s">
        <v>0</v>
      </c>
      <c r="G10" s="33" t="s">
        <v>0</v>
      </c>
      <c r="H10" s="28"/>
    </row>
    <row r="11" spans="1:14">
      <c r="B11" s="34" t="s">
        <v>0</v>
      </c>
      <c r="C11" s="34" t="s">
        <v>3</v>
      </c>
      <c r="D11" s="34" t="s">
        <v>365</v>
      </c>
      <c r="E11" s="34" t="s">
        <v>366</v>
      </c>
      <c r="F11" s="34" t="s">
        <v>238</v>
      </c>
      <c r="G11" s="34" t="s">
        <v>398</v>
      </c>
      <c r="H11" s="34" t="s">
        <v>398</v>
      </c>
    </row>
    <row r="12" spans="1:14" ht="15.75" thickBot="1">
      <c r="B12" s="36" t="s">
        <v>2</v>
      </c>
      <c r="C12" s="36" t="s">
        <v>4</v>
      </c>
      <c r="D12" s="36" t="s">
        <v>28</v>
      </c>
      <c r="E12" s="36" t="s">
        <v>172</v>
      </c>
      <c r="F12" s="36" t="s">
        <v>400</v>
      </c>
      <c r="G12" s="36" t="s">
        <v>448</v>
      </c>
      <c r="H12" s="36" t="s">
        <v>29</v>
      </c>
    </row>
    <row r="13" spans="1:14">
      <c r="B13" s="38" t="s">
        <v>0</v>
      </c>
      <c r="C13" s="38" t="s">
        <v>0</v>
      </c>
      <c r="D13" s="39" t="s">
        <v>116</v>
      </c>
      <c r="E13" s="38" t="s">
        <v>117</v>
      </c>
      <c r="F13" s="38" t="s">
        <v>0</v>
      </c>
      <c r="G13" s="38" t="s">
        <v>117</v>
      </c>
      <c r="H13" s="38" t="s">
        <v>0</v>
      </c>
    </row>
    <row r="14" spans="1:14">
      <c r="B14" s="34"/>
      <c r="C14" s="34"/>
      <c r="D14" s="34"/>
      <c r="E14" s="34"/>
      <c r="F14" s="34"/>
      <c r="G14" s="34"/>
      <c r="H14" s="34"/>
    </row>
    <row r="15" spans="1:14">
      <c r="B15" s="12"/>
      <c r="C15" s="12"/>
      <c r="D15" s="12"/>
      <c r="E15" s="12"/>
      <c r="F15" s="12"/>
      <c r="G15" s="12"/>
      <c r="H15" s="12"/>
    </row>
    <row r="16" spans="1:14" ht="15.75">
      <c r="B16" s="62" t="str">
        <f>+'S&amp;D'!A22</f>
        <v>DCP Midstream LP</v>
      </c>
      <c r="C16" s="89" t="str">
        <f>+'S&amp;D'!B22</f>
        <v>DCP</v>
      </c>
      <c r="D16" s="193">
        <f>+'S&amp;D'!G22</f>
        <v>38.79</v>
      </c>
      <c r="E16" s="336">
        <v>78.45</v>
      </c>
      <c r="F16" s="71">
        <f>D16/E16</f>
        <v>0.49445506692160607</v>
      </c>
      <c r="G16" s="336">
        <v>25.11</v>
      </c>
      <c r="H16" s="71">
        <f>D16/G16</f>
        <v>1.5448028673835126</v>
      </c>
    </row>
    <row r="17" spans="2:8" ht="15.75">
      <c r="B17" s="62" t="str">
        <f>+'S&amp;D'!A23</f>
        <v>Enbridge Inc</v>
      </c>
      <c r="C17" s="89" t="str">
        <f>+'S&amp;D'!B23</f>
        <v>ENB.TO</v>
      </c>
      <c r="D17" s="193">
        <f>+'S&amp;D'!G23</f>
        <v>52.92</v>
      </c>
      <c r="E17" s="336">
        <v>26.33</v>
      </c>
      <c r="F17" s="403">
        <f t="shared" ref="F17:F21" si="0">D17/E17</f>
        <v>2.0098746676794534</v>
      </c>
      <c r="G17" s="336">
        <v>29.57</v>
      </c>
      <c r="H17" s="403">
        <f t="shared" ref="H17:H24" si="1">D17/G17</f>
        <v>1.7896516739939128</v>
      </c>
    </row>
    <row r="18" spans="2:8" ht="15.75">
      <c r="B18" s="62" t="str">
        <f>+'S&amp;D'!A24</f>
        <v>Energy Transfer LP</v>
      </c>
      <c r="C18" s="89" t="str">
        <f>+'S&amp;D'!B24</f>
        <v>ET</v>
      </c>
      <c r="D18" s="193">
        <f>+'S&amp;D'!G24</f>
        <v>11.87</v>
      </c>
      <c r="E18" s="336">
        <v>30.35</v>
      </c>
      <c r="F18" s="403">
        <f t="shared" si="0"/>
        <v>0.39110378912685334</v>
      </c>
      <c r="G18" s="336">
        <v>10.7</v>
      </c>
      <c r="H18" s="403">
        <f t="shared" si="1"/>
        <v>1.1093457943925233</v>
      </c>
    </row>
    <row r="19" spans="2:8" ht="15.75">
      <c r="B19" s="62" t="str">
        <f>+'S&amp;D'!A25</f>
        <v>Enlink Midstream LLC</v>
      </c>
      <c r="C19" s="89" t="str">
        <f>+'S&amp;D'!B25</f>
        <v>ENLC</v>
      </c>
      <c r="D19" s="193">
        <f>+'S&amp;D'!G25</f>
        <v>12.3</v>
      </c>
      <c r="E19" s="336">
        <v>22.05</v>
      </c>
      <c r="F19" s="403">
        <f t="shared" si="0"/>
        <v>0.55782312925170074</v>
      </c>
      <c r="G19" s="336">
        <v>2.5499999999999998</v>
      </c>
      <c r="H19" s="403">
        <f t="shared" si="1"/>
        <v>4.8235294117647065</v>
      </c>
    </row>
    <row r="20" spans="2:8" ht="15.75">
      <c r="B20" s="62" t="str">
        <f>+'S&amp;D'!A26</f>
        <v>Enterprise Products Partnership LP</v>
      </c>
      <c r="C20" s="89" t="str">
        <f>+'S&amp;D'!B26</f>
        <v>EPD</v>
      </c>
      <c r="D20" s="193">
        <f>+'S&amp;D'!G26</f>
        <v>24.12</v>
      </c>
      <c r="E20" s="336">
        <v>26.45</v>
      </c>
      <c r="F20" s="403">
        <f t="shared" si="0"/>
        <v>0.91190926275992445</v>
      </c>
      <c r="G20" s="336">
        <v>12.2</v>
      </c>
      <c r="H20" s="403">
        <f t="shared" si="1"/>
        <v>1.9770491803278691</v>
      </c>
    </row>
    <row r="21" spans="2:8" ht="15.75">
      <c r="B21" s="62" t="str">
        <f>+'S&amp;D'!A27</f>
        <v>Kinder Morgan Inc</v>
      </c>
      <c r="C21" s="89" t="str">
        <f>+'S&amp;D'!B27</f>
        <v>KMI</v>
      </c>
      <c r="D21" s="193">
        <f>+'S&amp;D'!G27</f>
        <v>18.079999999999998</v>
      </c>
      <c r="E21" s="336">
        <v>8.5399999999999991</v>
      </c>
      <c r="F21" s="403">
        <f t="shared" si="0"/>
        <v>2.1170960187353631</v>
      </c>
      <c r="G21" s="336">
        <v>13.68</v>
      </c>
      <c r="H21" s="403">
        <f t="shared" si="1"/>
        <v>1.3216374269005846</v>
      </c>
    </row>
    <row r="22" spans="2:8" ht="15.75">
      <c r="B22" s="62" t="str">
        <f>+'S&amp;D'!A28</f>
        <v>ONEOK Inc</v>
      </c>
      <c r="C22" s="89" t="str">
        <f>+'S&amp;D'!B28</f>
        <v>OKE</v>
      </c>
      <c r="D22" s="193">
        <f>+'S&amp;D'!G28</f>
        <v>65.7</v>
      </c>
      <c r="E22" s="336">
        <v>51.9</v>
      </c>
      <c r="F22" s="403">
        <f t="shared" ref="F22:F24" si="2">D22/E22</f>
        <v>1.2658959537572256</v>
      </c>
      <c r="G22" s="336">
        <v>14.3</v>
      </c>
      <c r="H22" s="403">
        <f t="shared" si="1"/>
        <v>4.5944055944055942</v>
      </c>
    </row>
    <row r="23" spans="2:8" ht="15.75">
      <c r="B23" s="62" t="str">
        <f>+'S&amp;D'!A29</f>
        <v>TC Energy Corp</v>
      </c>
      <c r="C23" s="89" t="str">
        <f>+'S&amp;D'!B29</f>
        <v>TRP</v>
      </c>
      <c r="D23" s="193">
        <f>+'S&amp;D'!G29</f>
        <v>39.86</v>
      </c>
      <c r="E23" s="336">
        <v>11.17</v>
      </c>
      <c r="F23" s="403">
        <f t="shared" si="2"/>
        <v>3.5684870188003579</v>
      </c>
      <c r="G23" s="336">
        <v>24.73</v>
      </c>
      <c r="H23" s="403">
        <f t="shared" si="1"/>
        <v>1.6118075212292762</v>
      </c>
    </row>
    <row r="24" spans="2:8" ht="15.75">
      <c r="B24" s="62" t="str">
        <f>+'S&amp;D'!A30</f>
        <v>Williams Companys Inc</v>
      </c>
      <c r="C24" s="89" t="str">
        <f>+'S&amp;D'!B30</f>
        <v>WMB</v>
      </c>
      <c r="D24" s="193">
        <f>+'S&amp;D'!G30</f>
        <v>32.9</v>
      </c>
      <c r="E24" s="336">
        <v>9.3000000000000007</v>
      </c>
      <c r="F24" s="403">
        <f t="shared" si="2"/>
        <v>3.5376344086021501</v>
      </c>
      <c r="G24" s="336">
        <v>10.8</v>
      </c>
      <c r="H24" s="403">
        <f t="shared" si="1"/>
        <v>3.0462962962962958</v>
      </c>
    </row>
    <row r="25" spans="2:8" ht="11.25" customHeight="1" thickBot="1">
      <c r="B25" s="12"/>
      <c r="C25" s="69"/>
      <c r="D25" s="69"/>
      <c r="E25" s="69"/>
      <c r="F25" s="404"/>
      <c r="G25" s="69"/>
      <c r="H25" s="404"/>
    </row>
    <row r="26" spans="2:8" ht="15.75" thickTop="1">
      <c r="B26" s="12"/>
      <c r="D26" s="14" t="s">
        <v>46</v>
      </c>
      <c r="E26" s="70">
        <v>78.45</v>
      </c>
      <c r="F26" s="70">
        <v>3.57</v>
      </c>
      <c r="G26" s="70">
        <v>29.57</v>
      </c>
      <c r="H26" s="70">
        <v>4.82</v>
      </c>
    </row>
    <row r="27" spans="2:8">
      <c r="B27" s="12"/>
      <c r="D27" s="355" t="s">
        <v>47</v>
      </c>
      <c r="E27" s="359">
        <v>8.5399999999999991</v>
      </c>
      <c r="F27" s="359">
        <v>0.39</v>
      </c>
      <c r="G27" s="359">
        <v>2.5499999999999998</v>
      </c>
      <c r="H27" s="359">
        <v>1.1100000000000001</v>
      </c>
    </row>
    <row r="28" spans="2:8">
      <c r="B28" s="12"/>
      <c r="D28" s="14" t="s">
        <v>18</v>
      </c>
      <c r="E28" s="71" t="s">
        <v>0</v>
      </c>
      <c r="F28" s="21">
        <f>MEDIAN(F16:F24)</f>
        <v>1.2658959537572256</v>
      </c>
      <c r="G28" s="71" t="s">
        <v>0</v>
      </c>
      <c r="H28" s="18">
        <f>MEDIAN(H16:H24)</f>
        <v>1.7896516739939128</v>
      </c>
    </row>
    <row r="29" spans="2:8">
      <c r="B29" s="12"/>
      <c r="D29" s="14" t="s">
        <v>460</v>
      </c>
      <c r="E29" s="17" t="s">
        <v>0</v>
      </c>
      <c r="F29" s="19">
        <f>AVERAGE(F16:F24)</f>
        <v>1.6504754795149592</v>
      </c>
      <c r="G29" s="17" t="s">
        <v>0</v>
      </c>
      <c r="H29" s="18">
        <f>AVERAGE(H16:H24)</f>
        <v>2.4242806407438087</v>
      </c>
    </row>
    <row r="30" spans="2:8">
      <c r="B30" s="12"/>
      <c r="C30" s="12"/>
      <c r="D30" s="12"/>
      <c r="E30" s="12"/>
      <c r="F30" s="12"/>
      <c r="G30" s="12"/>
      <c r="H30" s="12"/>
    </row>
    <row r="31" spans="2:8">
      <c r="B31" s="12"/>
      <c r="C31" s="12"/>
      <c r="D31" s="12"/>
      <c r="E31" s="12"/>
      <c r="F31" s="12"/>
      <c r="G31" s="12"/>
      <c r="H31" s="12"/>
    </row>
    <row r="32" spans="2:8" ht="15.75" thickBot="1">
      <c r="B32" s="12"/>
      <c r="C32" s="12"/>
      <c r="D32" s="12"/>
      <c r="E32" s="12"/>
      <c r="F32" s="12"/>
      <c r="H32" s="12"/>
    </row>
    <row r="33" spans="1:14" ht="21" thickBot="1">
      <c r="B33" s="74" t="s">
        <v>0</v>
      </c>
      <c r="C33" s="12"/>
      <c r="D33" s="23" t="s">
        <v>127</v>
      </c>
      <c r="E33" s="23"/>
      <c r="F33" s="250">
        <v>1.65</v>
      </c>
      <c r="H33" s="250">
        <v>2.42</v>
      </c>
    </row>
    <row r="34" spans="1:14" ht="16.5">
      <c r="B34" s="74" t="s">
        <v>0</v>
      </c>
      <c r="C34" s="12"/>
      <c r="D34" s="12"/>
      <c r="E34" s="12"/>
      <c r="F34" s="12"/>
      <c r="H34" s="12"/>
    </row>
    <row r="35" spans="1:14" ht="16.5">
      <c r="B35" s="74"/>
      <c r="C35" s="12"/>
      <c r="D35" s="12"/>
      <c r="E35" s="12"/>
      <c r="F35" s="12"/>
      <c r="H35" s="12"/>
    </row>
    <row r="36" spans="1:14" ht="16.5">
      <c r="A36" s="105" t="s">
        <v>401</v>
      </c>
      <c r="B36" s="74"/>
      <c r="C36" s="12"/>
      <c r="D36" s="12"/>
      <c r="E36" s="12"/>
      <c r="F36" s="12"/>
      <c r="H36" s="12"/>
    </row>
    <row r="37" spans="1:14" ht="16.5">
      <c r="A37" s="105" t="s">
        <v>370</v>
      </c>
      <c r="B37" s="74"/>
      <c r="C37" s="12"/>
      <c r="D37" s="12"/>
      <c r="E37" s="12"/>
      <c r="F37" s="12"/>
      <c r="G37" s="12"/>
      <c r="H37" s="12"/>
    </row>
    <row r="38" spans="1:14" ht="16.5">
      <c r="B38" s="74"/>
      <c r="C38" s="12"/>
      <c r="D38" s="12"/>
      <c r="E38" s="12"/>
      <c r="F38" s="12"/>
      <c r="G38" s="12"/>
      <c r="H38" s="12"/>
    </row>
    <row r="39" spans="1:14" ht="16.5">
      <c r="A39" s="105" t="s">
        <v>402</v>
      </c>
      <c r="B39" s="74"/>
      <c r="C39" s="12"/>
      <c r="D39" s="12"/>
      <c r="E39" s="12"/>
      <c r="F39" s="12"/>
      <c r="G39" s="12"/>
      <c r="H39" s="12"/>
    </row>
    <row r="40" spans="1:14" ht="16.5">
      <c r="A40" s="105" t="s">
        <v>368</v>
      </c>
      <c r="B40" s="74"/>
      <c r="C40" s="12"/>
      <c r="D40" s="12"/>
      <c r="E40" s="12"/>
      <c r="F40" s="12"/>
      <c r="G40" s="12"/>
      <c r="H40" s="12"/>
    </row>
    <row r="41" spans="1:14" ht="16.5">
      <c r="A41" s="105" t="s">
        <v>369</v>
      </c>
      <c r="B41" s="74"/>
      <c r="C41" s="12"/>
      <c r="D41" s="12"/>
      <c r="E41" s="12"/>
      <c r="F41" s="12"/>
      <c r="G41" s="12"/>
      <c r="H41" s="12"/>
    </row>
    <row r="42" spans="1:14">
      <c r="B42" s="12"/>
      <c r="C42" s="12"/>
      <c r="D42" s="12"/>
      <c r="E42" s="12"/>
      <c r="F42" s="12"/>
      <c r="G42" s="12"/>
      <c r="H42" s="12"/>
      <c r="I42" s="12"/>
      <c r="J42" s="12"/>
      <c r="K42" s="12"/>
      <c r="L42" s="12"/>
      <c r="M42" s="12"/>
      <c r="N42" s="12"/>
    </row>
    <row r="43" spans="1:14">
      <c r="B43" s="12"/>
      <c r="C43" s="12"/>
      <c r="D43" s="12"/>
      <c r="E43" s="12"/>
      <c r="F43" s="12"/>
      <c r="G43" s="12"/>
      <c r="H43" s="12"/>
      <c r="I43" s="12"/>
      <c r="J43" s="12"/>
      <c r="K43" s="12"/>
      <c r="L43" s="12"/>
      <c r="M43" s="12"/>
      <c r="N43" s="12"/>
    </row>
    <row r="44" spans="1:14" ht="16.5">
      <c r="B44" s="74"/>
      <c r="C44" s="12"/>
      <c r="D44" s="12"/>
      <c r="E44" s="12"/>
      <c r="F44" s="12"/>
      <c r="G44" s="12"/>
      <c r="H44" s="12"/>
    </row>
    <row r="48" spans="1:14" ht="15.75">
      <c r="A48" s="105"/>
      <c r="B48" s="291"/>
      <c r="C48" s="290" t="s">
        <v>0</v>
      </c>
    </row>
    <row r="49" spans="3:3" ht="15.75">
      <c r="C49" s="290" t="s">
        <v>0</v>
      </c>
    </row>
    <row r="50" spans="3:3" ht="15.75">
      <c r="C50" s="290" t="s">
        <v>0</v>
      </c>
    </row>
  </sheetData>
  <pageMargins left="0.25" right="0.25"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view="pageBreakPreview" zoomScale="80" zoomScaleNormal="80" zoomScaleSheetLayoutView="80" workbookViewId="0">
      <selection activeCell="G14" sqref="G14"/>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0.25">
      <c r="A1" s="23" t="s">
        <v>1</v>
      </c>
      <c r="C1" s="12"/>
      <c r="D1" s="12"/>
      <c r="E1" s="12"/>
      <c r="F1" s="12"/>
      <c r="G1" s="12"/>
      <c r="H1" s="12"/>
      <c r="I1" s="12"/>
      <c r="J1" s="12"/>
      <c r="K1" s="12"/>
    </row>
    <row r="2" spans="1:11" ht="15.75">
      <c r="A2" s="24" t="s">
        <v>9</v>
      </c>
      <c r="C2" s="12"/>
      <c r="D2" s="12"/>
      <c r="E2" s="12"/>
      <c r="F2" s="12"/>
      <c r="G2" s="12"/>
      <c r="H2" s="12"/>
      <c r="I2" s="12"/>
      <c r="J2" s="12"/>
      <c r="K2" s="12"/>
    </row>
    <row r="3" spans="1:11" ht="17.25" customHeight="1">
      <c r="A3" s="25" t="s">
        <v>63</v>
      </c>
      <c r="C3" s="12"/>
      <c r="D3" s="12"/>
      <c r="E3" s="12"/>
      <c r="F3" s="12"/>
      <c r="G3" s="12"/>
      <c r="H3" s="12"/>
      <c r="I3" s="12"/>
      <c r="J3" s="12"/>
      <c r="K3" s="12"/>
    </row>
    <row r="4" spans="1:11" ht="17.25" customHeight="1">
      <c r="B4" s="25"/>
      <c r="C4" s="12"/>
      <c r="D4" s="12"/>
      <c r="E4" s="12"/>
      <c r="F4" s="12"/>
      <c r="G4" s="12"/>
      <c r="H4" s="12"/>
      <c r="I4" s="12"/>
      <c r="J4" s="12"/>
      <c r="K4" s="12"/>
    </row>
    <row r="5" spans="1:11" ht="17.25" customHeight="1">
      <c r="B5" s="152"/>
      <c r="C5" s="12"/>
      <c r="D5" s="12"/>
      <c r="E5" s="12"/>
      <c r="F5" s="12"/>
      <c r="G5" s="12"/>
      <c r="H5" s="12"/>
      <c r="I5" s="12"/>
      <c r="J5" s="12"/>
      <c r="K5" s="12"/>
    </row>
    <row r="6" spans="1:11" ht="17.25" customHeight="1">
      <c r="B6" s="152"/>
      <c r="C6" s="12"/>
      <c r="D6" s="12"/>
      <c r="E6" s="12"/>
      <c r="F6" s="12"/>
      <c r="G6" s="12"/>
      <c r="H6" s="12"/>
      <c r="I6" s="12"/>
      <c r="J6" s="12"/>
      <c r="K6" s="12"/>
    </row>
    <row r="7" spans="1:11" ht="17.25" customHeight="1">
      <c r="B7" s="152"/>
      <c r="C7" s="12"/>
      <c r="D7" s="12"/>
      <c r="E7" s="12"/>
      <c r="F7" s="12"/>
      <c r="G7" s="12"/>
      <c r="H7" s="12"/>
      <c r="I7" s="12"/>
      <c r="J7" s="12"/>
      <c r="K7" s="12"/>
    </row>
    <row r="8" spans="1:11">
      <c r="B8" s="25"/>
      <c r="C8" s="12"/>
      <c r="D8" s="12"/>
      <c r="E8" s="12"/>
      <c r="F8" s="12"/>
      <c r="G8" s="12"/>
      <c r="H8" s="12"/>
      <c r="I8" s="12"/>
      <c r="J8" s="12"/>
      <c r="K8" s="12"/>
    </row>
    <row r="9" spans="1:11" ht="18">
      <c r="B9" s="12"/>
      <c r="C9" s="12"/>
      <c r="D9" s="77" t="s">
        <v>0</v>
      </c>
      <c r="E9" s="12"/>
      <c r="F9" s="12"/>
      <c r="G9" s="12"/>
      <c r="H9" s="12"/>
      <c r="I9" s="12"/>
      <c r="J9" s="12"/>
      <c r="K9" s="12"/>
    </row>
    <row r="10" spans="1:11" ht="18">
      <c r="B10" s="12"/>
      <c r="C10" s="12"/>
      <c r="D10" s="77" t="s">
        <v>65</v>
      </c>
      <c r="E10" s="12"/>
      <c r="F10" s="12"/>
      <c r="G10" s="12"/>
      <c r="H10" s="12"/>
      <c r="I10" s="12"/>
      <c r="J10" s="12"/>
      <c r="K10" s="12"/>
    </row>
    <row r="11" spans="1:11">
      <c r="B11" s="12"/>
      <c r="C11" s="12"/>
      <c r="D11" s="12"/>
      <c r="E11" s="12"/>
      <c r="F11" s="12"/>
      <c r="G11" s="12"/>
      <c r="H11" s="12"/>
      <c r="I11" s="12"/>
      <c r="J11" s="12"/>
      <c r="K11" s="12"/>
    </row>
    <row r="12" spans="1:11">
      <c r="B12" s="12"/>
      <c r="C12" s="12"/>
      <c r="D12" s="12"/>
      <c r="E12" s="12"/>
      <c r="F12" s="12"/>
      <c r="G12" s="12"/>
      <c r="H12" s="12"/>
      <c r="I12" s="12"/>
      <c r="J12" s="12"/>
      <c r="K12" s="12"/>
    </row>
    <row r="13" spans="1:11">
      <c r="B13" s="12"/>
      <c r="C13" s="12"/>
      <c r="D13" s="12"/>
      <c r="E13" s="26"/>
      <c r="F13" s="12"/>
      <c r="G13" s="12"/>
      <c r="H13" s="12"/>
      <c r="I13" s="12"/>
      <c r="J13" s="12"/>
      <c r="K13" s="12"/>
    </row>
    <row r="14" spans="1:11">
      <c r="B14" s="12"/>
      <c r="C14" s="12"/>
      <c r="D14" s="12"/>
      <c r="E14" s="12"/>
      <c r="F14" s="12"/>
      <c r="G14" s="12"/>
      <c r="H14" s="12"/>
      <c r="I14" s="12"/>
      <c r="J14" s="12"/>
      <c r="K14" s="12"/>
    </row>
    <row r="15" spans="1:11" ht="15.75" thickBot="1">
      <c r="B15" s="12"/>
      <c r="C15" s="28"/>
      <c r="D15" s="28"/>
      <c r="E15" s="28"/>
      <c r="F15" s="12"/>
      <c r="G15" s="12"/>
      <c r="H15" s="12"/>
      <c r="I15" s="12"/>
      <c r="J15" s="12"/>
      <c r="K15" s="12"/>
    </row>
    <row r="16" spans="1:11" ht="20.25">
      <c r="B16" s="12"/>
      <c r="C16" s="12"/>
      <c r="D16" s="31" t="str">
        <f>+'S&amp;D'!A12</f>
        <v>Natural Gas Transmission Pipeline Carrier</v>
      </c>
      <c r="E16" s="12"/>
      <c r="F16" s="12"/>
      <c r="G16" s="12"/>
      <c r="H16" s="12"/>
      <c r="I16" s="12"/>
      <c r="J16" s="12"/>
      <c r="K16" s="12"/>
    </row>
    <row r="17" spans="2:11" ht="15.75" thickBot="1">
      <c r="B17" s="12"/>
      <c r="C17" s="28"/>
      <c r="D17" s="36" t="s">
        <v>0</v>
      </c>
      <c r="E17" s="28"/>
      <c r="F17" s="12"/>
      <c r="G17" s="12"/>
      <c r="H17" s="12"/>
      <c r="I17" s="12"/>
      <c r="J17" s="12"/>
      <c r="K17" s="12"/>
    </row>
    <row r="18" spans="2:11" ht="15.75" thickBot="1">
      <c r="B18" s="28"/>
      <c r="C18" s="28"/>
      <c r="D18" s="36" t="s">
        <v>0</v>
      </c>
      <c r="E18" s="28"/>
      <c r="F18" s="28"/>
      <c r="G18" s="28"/>
      <c r="H18" s="12"/>
      <c r="I18" s="12"/>
      <c r="J18" s="12"/>
      <c r="K18" s="12"/>
    </row>
    <row r="19" spans="2:11">
      <c r="B19" s="34" t="s">
        <v>32</v>
      </c>
      <c r="C19" s="34" t="s">
        <v>33</v>
      </c>
      <c r="D19" s="34" t="s">
        <v>34</v>
      </c>
      <c r="E19" s="34" t="s">
        <v>69</v>
      </c>
      <c r="F19" s="34" t="s">
        <v>34</v>
      </c>
      <c r="G19" s="34" t="s">
        <v>35</v>
      </c>
      <c r="H19" s="12"/>
      <c r="I19" s="12"/>
      <c r="J19" s="12"/>
      <c r="K19" s="12"/>
    </row>
    <row r="20" spans="2:11" ht="15.75" thickBot="1">
      <c r="B20" s="36" t="s">
        <v>33</v>
      </c>
      <c r="C20" s="36" t="s">
        <v>36</v>
      </c>
      <c r="D20" s="36" t="s">
        <v>37</v>
      </c>
      <c r="E20" s="36" t="s">
        <v>23</v>
      </c>
      <c r="F20" s="36" t="s">
        <v>38</v>
      </c>
      <c r="G20" s="36" t="s">
        <v>39</v>
      </c>
      <c r="H20" s="12"/>
      <c r="I20" s="12"/>
      <c r="J20" s="12"/>
      <c r="K20" s="12"/>
    </row>
    <row r="21" spans="2:11">
      <c r="B21" s="38" t="s">
        <v>0</v>
      </c>
      <c r="C21" s="38" t="s">
        <v>0</v>
      </c>
      <c r="D21" s="38" t="s">
        <v>0</v>
      </c>
      <c r="E21" s="38" t="s">
        <v>0</v>
      </c>
      <c r="F21" s="38" t="s">
        <v>0</v>
      </c>
      <c r="G21" s="38" t="s">
        <v>0</v>
      </c>
      <c r="H21" s="12"/>
      <c r="I21" s="12"/>
      <c r="J21" s="12"/>
      <c r="K21" s="12"/>
    </row>
    <row r="22" spans="2:11">
      <c r="B22" s="34"/>
      <c r="C22" s="34"/>
      <c r="D22" s="34"/>
      <c r="E22" s="34"/>
      <c r="F22" s="34"/>
      <c r="G22" s="34"/>
      <c r="H22" s="12"/>
      <c r="I22" s="12"/>
      <c r="J22" s="12"/>
      <c r="K22" s="12"/>
    </row>
    <row r="23" spans="2:11" ht="15.75">
      <c r="B23" s="89" t="s">
        <v>40</v>
      </c>
      <c r="C23" s="144">
        <f>'S&amp;D'!I53</f>
        <v>0.59</v>
      </c>
      <c r="D23" s="144">
        <f>+'Indicated Yield Equity Rate '!D54</f>
        <v>0.1086</v>
      </c>
      <c r="E23" s="102" t="s">
        <v>41</v>
      </c>
      <c r="F23" s="144">
        <f>+D23</f>
        <v>0.1086</v>
      </c>
      <c r="G23" s="145">
        <f>+F23*C23</f>
        <v>6.4073999999999992E-2</v>
      </c>
      <c r="H23" s="12"/>
      <c r="I23" s="12"/>
      <c r="J23" s="12"/>
      <c r="K23" s="12"/>
    </row>
    <row r="24" spans="2:11" ht="15.75">
      <c r="B24" s="89" t="s">
        <v>0</v>
      </c>
      <c r="C24" s="102" t="s">
        <v>0</v>
      </c>
      <c r="D24" s="102" t="s">
        <v>0</v>
      </c>
      <c r="E24" s="102" t="s">
        <v>0</v>
      </c>
      <c r="F24" s="146" t="s">
        <v>0</v>
      </c>
      <c r="G24" s="127" t="s">
        <v>0</v>
      </c>
      <c r="H24" s="12"/>
      <c r="I24" s="12"/>
      <c r="J24" s="12"/>
      <c r="K24" s="12"/>
    </row>
    <row r="25" spans="2:11" ht="15.75">
      <c r="B25" s="89" t="s">
        <v>42</v>
      </c>
      <c r="C25" s="144">
        <f>'S&amp;D'!J53</f>
        <v>0.41</v>
      </c>
      <c r="D25" s="144">
        <f>+'Yield Debt'!J31</f>
        <v>6.4600000000000005E-2</v>
      </c>
      <c r="E25" s="144">
        <v>0.26</v>
      </c>
      <c r="F25" s="144">
        <f>+D25*(1-E25)</f>
        <v>4.7804000000000006E-2</v>
      </c>
      <c r="G25" s="145">
        <f>+C25*F25</f>
        <v>1.9599640000000002E-2</v>
      </c>
      <c r="H25" s="12"/>
      <c r="I25" s="12"/>
      <c r="J25" s="12"/>
      <c r="K25" s="12"/>
    </row>
    <row r="26" spans="2:11" ht="16.5" thickBot="1">
      <c r="B26" s="96" t="s">
        <v>0</v>
      </c>
      <c r="C26" s="96" t="s">
        <v>0</v>
      </c>
      <c r="D26" s="96" t="s">
        <v>0</v>
      </c>
      <c r="E26" s="96" t="s">
        <v>0</v>
      </c>
      <c r="F26" s="147" t="s">
        <v>0</v>
      </c>
      <c r="G26" s="148" t="s">
        <v>0</v>
      </c>
      <c r="H26" s="12"/>
      <c r="I26" s="12"/>
      <c r="J26" s="12"/>
      <c r="K26" s="12"/>
    </row>
    <row r="27" spans="2:11" ht="15.75">
      <c r="B27" s="89" t="s">
        <v>72</v>
      </c>
      <c r="C27" s="149">
        <f>+C23+C25</f>
        <v>1</v>
      </c>
      <c r="D27" s="89" t="s">
        <v>0</v>
      </c>
      <c r="E27" s="89" t="s">
        <v>0</v>
      </c>
      <c r="F27" s="150" t="s">
        <v>0</v>
      </c>
      <c r="G27" s="145">
        <f>+G23+G25</f>
        <v>8.3673639999999994E-2</v>
      </c>
      <c r="H27" s="12"/>
      <c r="I27" s="12"/>
      <c r="J27" s="12"/>
      <c r="K27" s="12"/>
    </row>
    <row r="28" spans="2:11" ht="16.5" thickBot="1">
      <c r="B28" s="62"/>
      <c r="C28" s="62"/>
      <c r="D28" s="62"/>
      <c r="E28" s="62"/>
      <c r="F28" s="62"/>
      <c r="G28" s="151"/>
      <c r="H28" s="12"/>
      <c r="I28" s="12"/>
      <c r="J28" s="12"/>
      <c r="K28" s="12"/>
    </row>
    <row r="29" spans="2:11" ht="16.5" thickBot="1">
      <c r="B29" s="12"/>
      <c r="C29" s="12"/>
      <c r="D29" s="12"/>
      <c r="E29" s="12"/>
      <c r="F29" s="215" t="s">
        <v>75</v>
      </c>
      <c r="G29" s="320">
        <v>8.3699999999999997E-2</v>
      </c>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L2" sqref="L2"/>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zoomScale="80" zoomScaleNormal="80" zoomScaleSheetLayoutView="80" workbookViewId="0">
      <selection activeCell="D15" sqref="D15"/>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0.25">
      <c r="A1" s="23" t="s">
        <v>1</v>
      </c>
      <c r="C1" s="12"/>
      <c r="D1" s="12"/>
      <c r="E1" s="12"/>
      <c r="F1" s="12"/>
      <c r="G1" s="12"/>
      <c r="H1" s="12"/>
      <c r="I1" s="12"/>
      <c r="J1" s="12"/>
      <c r="K1" s="12"/>
    </row>
    <row r="2" spans="1:11" ht="15.75">
      <c r="A2" s="24" t="s">
        <v>9</v>
      </c>
      <c r="C2" s="12"/>
      <c r="D2" s="12"/>
      <c r="E2" s="12"/>
      <c r="F2" s="12"/>
      <c r="G2" s="12"/>
      <c r="H2" s="12"/>
      <c r="I2" s="12"/>
      <c r="J2" s="12"/>
      <c r="K2" s="12"/>
    </row>
    <row r="3" spans="1:11">
      <c r="A3" s="25" t="s">
        <v>63</v>
      </c>
      <c r="C3" s="12"/>
      <c r="D3" s="12"/>
      <c r="E3" s="12"/>
      <c r="F3" s="12"/>
      <c r="G3" s="12"/>
      <c r="H3" s="12"/>
      <c r="I3" s="12"/>
      <c r="J3" s="12"/>
      <c r="K3" s="12"/>
    </row>
    <row r="4" spans="1:11">
      <c r="B4" s="25"/>
      <c r="C4" s="12"/>
      <c r="D4" s="12"/>
      <c r="E4" s="12"/>
      <c r="F4" s="12"/>
      <c r="G4" s="12"/>
      <c r="H4" s="12"/>
      <c r="I4" s="12"/>
      <c r="J4" s="12"/>
      <c r="K4" s="12"/>
    </row>
    <row r="5" spans="1:11">
      <c r="B5" s="25"/>
      <c r="C5" s="12"/>
      <c r="D5" s="12"/>
      <c r="E5" s="12"/>
      <c r="F5" s="12"/>
      <c r="G5" s="12"/>
      <c r="H5" s="12"/>
      <c r="I5" s="12"/>
      <c r="J5" s="12"/>
      <c r="K5" s="12"/>
    </row>
    <row r="6" spans="1:11">
      <c r="B6" s="25"/>
      <c r="C6" s="12"/>
      <c r="D6" s="12"/>
      <c r="E6" s="12"/>
      <c r="F6" s="12"/>
      <c r="G6" s="12"/>
      <c r="H6" s="12"/>
      <c r="I6" s="12"/>
      <c r="J6" s="12"/>
      <c r="K6" s="12"/>
    </row>
    <row r="7" spans="1:11">
      <c r="B7" s="25"/>
      <c r="C7" s="12"/>
      <c r="D7" s="12"/>
      <c r="E7" s="12"/>
      <c r="F7" s="12"/>
      <c r="G7" s="12"/>
      <c r="H7" s="12"/>
      <c r="I7" s="12"/>
      <c r="J7" s="12"/>
      <c r="K7" s="12"/>
    </row>
    <row r="8" spans="1:11">
      <c r="B8" s="25"/>
      <c r="C8" s="12"/>
      <c r="D8" s="12"/>
      <c r="E8" s="12"/>
      <c r="F8" s="12"/>
      <c r="G8" s="12"/>
      <c r="H8" s="12"/>
      <c r="I8" s="12"/>
      <c r="J8" s="12"/>
      <c r="K8" s="12"/>
    </row>
    <row r="9" spans="1:11">
      <c r="B9" s="25"/>
      <c r="C9" s="12"/>
      <c r="D9" s="12"/>
      <c r="E9" s="12"/>
      <c r="F9" s="12"/>
      <c r="G9" s="12"/>
      <c r="H9" s="12"/>
      <c r="I9" s="12"/>
      <c r="J9" s="12"/>
      <c r="K9" s="12"/>
    </row>
    <row r="10" spans="1:11" ht="18">
      <c r="B10" s="12"/>
      <c r="C10" s="12"/>
      <c r="D10" s="77" t="s">
        <v>0</v>
      </c>
      <c r="E10" s="12"/>
      <c r="F10" s="12"/>
      <c r="G10" s="12"/>
      <c r="H10" s="12"/>
      <c r="I10" s="12"/>
      <c r="J10" s="12"/>
      <c r="K10" s="12"/>
    </row>
    <row r="11" spans="1:11" ht="18">
      <c r="B11" s="12"/>
      <c r="C11" s="12"/>
      <c r="D11" s="77" t="s">
        <v>64</v>
      </c>
      <c r="E11" s="12"/>
      <c r="F11" s="12"/>
      <c r="G11" s="12"/>
      <c r="H11" s="12"/>
      <c r="I11" s="12"/>
      <c r="J11" s="12"/>
      <c r="K11" s="12"/>
    </row>
    <row r="12" spans="1:11">
      <c r="B12" s="12"/>
      <c r="C12" s="12"/>
      <c r="D12" s="12"/>
      <c r="E12" s="12"/>
      <c r="F12" s="12"/>
      <c r="G12" s="12"/>
      <c r="H12" s="12"/>
      <c r="I12" s="12"/>
      <c r="J12" s="12"/>
      <c r="K12" s="12"/>
    </row>
    <row r="13" spans="1:11">
      <c r="B13" s="12"/>
      <c r="C13" s="12"/>
      <c r="D13" s="12"/>
      <c r="E13" s="12"/>
      <c r="F13" s="12"/>
      <c r="G13" s="12"/>
      <c r="H13" s="12"/>
      <c r="I13" s="12"/>
      <c r="J13" s="12"/>
      <c r="K13" s="12"/>
    </row>
    <row r="14" spans="1:11" ht="15.75" thickBot="1">
      <c r="B14" s="12"/>
      <c r="C14" s="28"/>
      <c r="D14" s="28"/>
      <c r="E14" s="28"/>
      <c r="F14" s="12"/>
      <c r="G14" s="12"/>
      <c r="H14" s="12"/>
      <c r="I14" s="12"/>
      <c r="J14" s="12"/>
      <c r="K14" s="12"/>
    </row>
    <row r="15" spans="1:11" ht="20.25">
      <c r="B15" s="12"/>
      <c r="C15" s="12"/>
      <c r="D15" s="31" t="str">
        <f>'S&amp;D'!A12</f>
        <v>Natural Gas Transmission Pipeline Carrier</v>
      </c>
      <c r="E15" s="12"/>
      <c r="F15" s="12"/>
      <c r="G15" s="12"/>
      <c r="H15" s="12"/>
      <c r="I15" s="12"/>
      <c r="J15" s="12"/>
      <c r="K15" s="12"/>
    </row>
    <row r="16" spans="1:11" ht="18.75" thickBot="1">
      <c r="B16" s="12"/>
      <c r="C16" s="28"/>
      <c r="D16" s="143" t="s">
        <v>71</v>
      </c>
      <c r="E16" s="28"/>
      <c r="F16" s="12"/>
      <c r="G16" s="12"/>
      <c r="H16" s="12"/>
      <c r="I16" s="12"/>
      <c r="J16" s="12"/>
      <c r="K16" s="12"/>
    </row>
    <row r="17" spans="2:11">
      <c r="H17" s="12"/>
      <c r="I17" s="12"/>
      <c r="J17" s="12"/>
      <c r="K17" s="12"/>
    </row>
    <row r="18" spans="2:11" ht="15.75" thickBot="1">
      <c r="B18" s="28"/>
      <c r="C18" s="28"/>
      <c r="D18" s="36" t="s">
        <v>0</v>
      </c>
      <c r="E18" s="28"/>
      <c r="F18" s="28"/>
      <c r="G18" s="28"/>
      <c r="H18" s="12"/>
      <c r="I18" s="12"/>
      <c r="J18" s="12"/>
      <c r="K18" s="12"/>
    </row>
    <row r="19" spans="2:11">
      <c r="B19" s="34" t="s">
        <v>32</v>
      </c>
      <c r="C19" s="34" t="s">
        <v>33</v>
      </c>
      <c r="D19" s="34" t="s">
        <v>68</v>
      </c>
      <c r="E19" s="34" t="s">
        <v>69</v>
      </c>
      <c r="F19" s="34" t="s">
        <v>67</v>
      </c>
      <c r="G19" s="34" t="s">
        <v>35</v>
      </c>
      <c r="H19" s="12"/>
      <c r="I19" s="12"/>
      <c r="J19" s="12"/>
      <c r="K19" s="12"/>
    </row>
    <row r="20" spans="2:11" ht="15.75" thickBot="1">
      <c r="B20" s="36" t="s">
        <v>33</v>
      </c>
      <c r="C20" s="36" t="s">
        <v>36</v>
      </c>
      <c r="D20" s="36" t="s">
        <v>37</v>
      </c>
      <c r="E20" s="36" t="s">
        <v>23</v>
      </c>
      <c r="F20" s="36" t="s">
        <v>38</v>
      </c>
      <c r="G20" s="36" t="s">
        <v>70</v>
      </c>
      <c r="H20" s="12"/>
      <c r="I20" s="12"/>
      <c r="J20" s="12"/>
      <c r="K20" s="12"/>
    </row>
    <row r="21" spans="2:11">
      <c r="B21" s="38" t="s">
        <v>0</v>
      </c>
      <c r="C21" s="38" t="s">
        <v>0</v>
      </c>
      <c r="D21" s="38" t="s">
        <v>0</v>
      </c>
      <c r="E21" s="38" t="s">
        <v>0</v>
      </c>
      <c r="F21" s="38" t="s">
        <v>0</v>
      </c>
      <c r="G21" s="38" t="s">
        <v>0</v>
      </c>
      <c r="H21" s="12"/>
      <c r="I21" s="12"/>
      <c r="J21" s="12"/>
      <c r="K21" s="12"/>
    </row>
    <row r="22" spans="2:11">
      <c r="B22" s="34"/>
      <c r="C22" s="34"/>
      <c r="D22" s="34"/>
      <c r="E22" s="34"/>
      <c r="F22" s="34"/>
      <c r="G22" s="34"/>
      <c r="H22" s="12"/>
      <c r="I22" s="12"/>
      <c r="J22" s="12"/>
      <c r="K22" s="12"/>
    </row>
    <row r="23" spans="2:11" ht="15.75">
      <c r="B23" s="89" t="s">
        <v>40</v>
      </c>
      <c r="C23" s="144">
        <f>'S&amp;D'!I53</f>
        <v>0.59</v>
      </c>
      <c r="D23" s="144">
        <f>+'Direct NOPAT'!J35</f>
        <v>7.8550000000000009E-2</v>
      </c>
      <c r="E23" s="102" t="s">
        <v>41</v>
      </c>
      <c r="F23" s="144">
        <f>+D23</f>
        <v>7.8550000000000009E-2</v>
      </c>
      <c r="G23" s="145">
        <f>+F23*C23</f>
        <v>4.6344500000000004E-2</v>
      </c>
      <c r="H23" s="12"/>
      <c r="I23" s="12"/>
      <c r="J23" s="12"/>
      <c r="K23" s="12"/>
    </row>
    <row r="24" spans="2:11" ht="15.75">
      <c r="B24" s="89" t="s">
        <v>0</v>
      </c>
      <c r="C24" s="102" t="s">
        <v>0</v>
      </c>
      <c r="D24" s="102" t="s">
        <v>0</v>
      </c>
      <c r="E24" s="102" t="s">
        <v>0</v>
      </c>
      <c r="F24" s="146" t="s">
        <v>0</v>
      </c>
      <c r="G24" s="127" t="s">
        <v>0</v>
      </c>
      <c r="H24" s="12"/>
      <c r="I24" s="12"/>
      <c r="J24" s="12"/>
      <c r="K24" s="12"/>
    </row>
    <row r="25" spans="2:11" ht="15.75">
      <c r="B25" s="89" t="s">
        <v>42</v>
      </c>
      <c r="C25" s="144">
        <f>'S&amp;D'!J53</f>
        <v>0.41</v>
      </c>
      <c r="D25" s="144">
        <f>+'Direct Debt'!I35</f>
        <v>4.6300000000000001E-2</v>
      </c>
      <c r="E25" s="144">
        <v>0.26</v>
      </c>
      <c r="F25" s="144">
        <f>+D25*(1-E25)</f>
        <v>3.4262000000000001E-2</v>
      </c>
      <c r="G25" s="145">
        <f>+C25*F25</f>
        <v>1.404742E-2</v>
      </c>
      <c r="H25" s="12"/>
      <c r="I25" s="12"/>
      <c r="J25" s="12"/>
      <c r="K25" s="12"/>
    </row>
    <row r="26" spans="2:11" ht="16.5" thickBot="1">
      <c r="B26" s="96" t="s">
        <v>0</v>
      </c>
      <c r="C26" s="96" t="s">
        <v>0</v>
      </c>
      <c r="D26" s="96" t="s">
        <v>0</v>
      </c>
      <c r="E26" s="96" t="s">
        <v>0</v>
      </c>
      <c r="F26" s="147" t="s">
        <v>0</v>
      </c>
      <c r="G26" s="148" t="s">
        <v>0</v>
      </c>
      <c r="H26" s="12"/>
      <c r="I26" s="12"/>
      <c r="J26" s="12"/>
      <c r="K26" s="12"/>
    </row>
    <row r="27" spans="2:11" ht="15.75">
      <c r="B27" s="89" t="s">
        <v>43</v>
      </c>
      <c r="C27" s="149">
        <f>+C23+C25</f>
        <v>1</v>
      </c>
      <c r="D27" s="89" t="s">
        <v>0</v>
      </c>
      <c r="E27" s="89" t="s">
        <v>0</v>
      </c>
      <c r="F27" s="150" t="s">
        <v>0</v>
      </c>
      <c r="G27" s="145">
        <f>+G23+G25</f>
        <v>6.0391920000000002E-2</v>
      </c>
      <c r="H27" s="12"/>
      <c r="I27" s="12"/>
      <c r="J27" s="12"/>
      <c r="K27" s="12"/>
    </row>
    <row r="28" spans="2:11" ht="16.5" thickBot="1">
      <c r="B28" s="62"/>
      <c r="C28" s="62"/>
      <c r="D28" s="62"/>
      <c r="E28" s="62"/>
      <c r="F28" s="62"/>
      <c r="G28" s="151"/>
      <c r="H28" s="12"/>
      <c r="I28" s="12"/>
      <c r="J28" s="12"/>
      <c r="K28" s="12"/>
    </row>
    <row r="29" spans="2:11" ht="16.5" thickBot="1">
      <c r="B29" s="12"/>
      <c r="C29" s="12"/>
      <c r="D29" s="12"/>
      <c r="E29" s="12"/>
      <c r="F29" s="215" t="s">
        <v>75</v>
      </c>
      <c r="G29" s="320">
        <v>6.0400000000000002E-2</v>
      </c>
      <c r="H29" s="12"/>
      <c r="I29" s="12"/>
      <c r="J29" s="12"/>
      <c r="K29" s="12"/>
    </row>
    <row r="30" spans="2:11" ht="16.5" thickBot="1">
      <c r="B30" s="12"/>
      <c r="C30" s="12"/>
      <c r="D30" s="12"/>
      <c r="E30" s="12"/>
      <c r="F30" s="150"/>
      <c r="G30" s="145"/>
      <c r="H30" s="12"/>
      <c r="I30" s="12"/>
      <c r="J30" s="12"/>
      <c r="K30" s="12"/>
    </row>
    <row r="31" spans="2:11" ht="16.5" thickBot="1">
      <c r="B31" s="12"/>
      <c r="C31" s="12"/>
      <c r="D31" s="12"/>
      <c r="E31" s="12"/>
      <c r="F31" s="215" t="s">
        <v>239</v>
      </c>
      <c r="G31" s="251">
        <f>1/G29</f>
        <v>16.556291390728475</v>
      </c>
      <c r="H31" s="12"/>
      <c r="I31" s="12"/>
      <c r="J31" s="12"/>
      <c r="K31" s="12"/>
    </row>
    <row r="32" spans="2:11" ht="15.75">
      <c r="B32" s="12"/>
      <c r="C32" s="12"/>
      <c r="D32" s="12"/>
      <c r="E32" s="12"/>
      <c r="F32" s="150"/>
      <c r="G32" s="145"/>
      <c r="H32" s="12"/>
      <c r="I32" s="12"/>
      <c r="J32" s="12"/>
      <c r="K32" s="12"/>
    </row>
    <row r="33" spans="1:11" ht="15.75">
      <c r="B33" s="12"/>
      <c r="C33" s="12"/>
      <c r="D33" s="12"/>
      <c r="E33" s="12"/>
      <c r="F33" s="150"/>
      <c r="G33" s="145"/>
      <c r="H33" s="12"/>
      <c r="I33" s="12"/>
      <c r="J33" s="12"/>
      <c r="K33" s="12"/>
    </row>
    <row r="34" spans="1:11" ht="20.25">
      <c r="A34" s="23" t="s">
        <v>1</v>
      </c>
      <c r="C34" s="12"/>
      <c r="D34" s="12"/>
      <c r="E34" s="12"/>
      <c r="F34" s="150"/>
      <c r="G34" s="145"/>
      <c r="H34" s="12"/>
      <c r="I34" s="12"/>
      <c r="J34" s="12"/>
      <c r="K34" s="12"/>
    </row>
    <row r="35" spans="1:11" ht="15.75">
      <c r="A35" s="24" t="s">
        <v>9</v>
      </c>
      <c r="C35" s="12"/>
      <c r="D35" s="12"/>
      <c r="E35" s="12"/>
      <c r="F35" s="150"/>
      <c r="G35" s="145"/>
      <c r="H35" s="12"/>
      <c r="I35" s="12"/>
      <c r="J35" s="12"/>
      <c r="K35" s="12"/>
    </row>
    <row r="36" spans="1:11" ht="15.75">
      <c r="A36" s="25" t="s">
        <v>63</v>
      </c>
      <c r="C36" s="12"/>
      <c r="D36" s="12"/>
      <c r="E36" s="12"/>
      <c r="F36" s="150"/>
      <c r="G36" s="145"/>
      <c r="H36" s="12"/>
      <c r="I36" s="12"/>
      <c r="J36" s="12"/>
      <c r="K36" s="12"/>
    </row>
    <row r="37" spans="1:11" ht="15.75">
      <c r="A37" s="25"/>
      <c r="C37" s="12"/>
      <c r="D37" s="12"/>
      <c r="E37" s="12"/>
      <c r="F37" s="150"/>
      <c r="G37" s="145"/>
      <c r="H37" s="12"/>
      <c r="I37" s="12"/>
      <c r="J37" s="12"/>
      <c r="K37" s="12"/>
    </row>
    <row r="38" spans="1:11" ht="15.75">
      <c r="A38" s="25"/>
      <c r="C38" s="12"/>
      <c r="D38" s="12"/>
      <c r="E38" s="12"/>
      <c r="F38" s="150"/>
      <c r="G38" s="145"/>
      <c r="H38" s="12"/>
      <c r="I38" s="12"/>
      <c r="J38" s="12"/>
      <c r="K38" s="12"/>
    </row>
    <row r="39" spans="1:11" ht="15.75">
      <c r="A39" s="25"/>
      <c r="C39" s="12"/>
      <c r="D39" s="12"/>
      <c r="E39" s="12"/>
      <c r="F39" s="150"/>
      <c r="G39" s="145"/>
      <c r="H39" s="12"/>
      <c r="I39" s="12"/>
      <c r="J39" s="12"/>
      <c r="K39" s="12"/>
    </row>
    <row r="40" spans="1:11" ht="15.75">
      <c r="A40" s="25"/>
      <c r="C40" s="12"/>
      <c r="D40" s="12"/>
      <c r="E40" s="12"/>
      <c r="F40" s="150"/>
      <c r="G40" s="145"/>
      <c r="H40" s="12"/>
      <c r="I40" s="12"/>
      <c r="J40" s="12"/>
      <c r="K40" s="12"/>
    </row>
    <row r="41" spans="1:11" ht="15.75">
      <c r="A41" s="25"/>
      <c r="C41" s="12"/>
      <c r="D41" s="12"/>
      <c r="E41" s="12"/>
      <c r="F41" s="150"/>
      <c r="G41" s="145"/>
      <c r="H41" s="12"/>
      <c r="I41" s="12"/>
      <c r="J41" s="12"/>
      <c r="K41" s="12"/>
    </row>
    <row r="42" spans="1:11" ht="15.75">
      <c r="A42" s="25"/>
      <c r="C42" s="12"/>
      <c r="D42" s="12"/>
      <c r="E42" s="12"/>
      <c r="F42" s="150"/>
      <c r="G42" s="145"/>
      <c r="H42" s="12"/>
      <c r="I42" s="12"/>
      <c r="J42" s="12"/>
      <c r="K42" s="12"/>
    </row>
    <row r="43" spans="1:11" ht="15.75">
      <c r="A43" s="25"/>
      <c r="C43" s="12"/>
      <c r="D43" s="12"/>
      <c r="E43" s="12"/>
      <c r="F43" s="150"/>
      <c r="G43" s="145"/>
      <c r="H43" s="12"/>
      <c r="I43" s="12"/>
      <c r="J43" s="12"/>
      <c r="K43" s="12"/>
    </row>
    <row r="44" spans="1:11" ht="18">
      <c r="A44" s="25"/>
      <c r="C44" s="12"/>
      <c r="D44" s="77" t="s">
        <v>64</v>
      </c>
      <c r="E44" s="12"/>
      <c r="F44" s="150"/>
      <c r="G44" s="145"/>
      <c r="H44" s="12"/>
      <c r="I44" s="12"/>
      <c r="J44" s="12"/>
      <c r="K44" s="12"/>
    </row>
    <row r="45" spans="1:11" ht="18">
      <c r="A45" s="25"/>
      <c r="C45" s="12"/>
      <c r="D45" s="77"/>
      <c r="E45" s="12"/>
      <c r="F45" s="150"/>
      <c r="G45" s="145"/>
      <c r="H45" s="12"/>
      <c r="I45" s="12"/>
      <c r="J45" s="12"/>
      <c r="K45" s="12"/>
    </row>
    <row r="46" spans="1:11" ht="18">
      <c r="A46" s="25"/>
      <c r="C46" s="12"/>
      <c r="D46" s="77"/>
      <c r="E46" s="12"/>
      <c r="F46" s="150"/>
      <c r="G46" s="145"/>
      <c r="H46" s="12"/>
      <c r="I46" s="12"/>
      <c r="J46" s="12"/>
      <c r="K46" s="12"/>
    </row>
    <row r="47" spans="1:11" ht="15.75" thickBot="1">
      <c r="B47" s="12"/>
      <c r="C47" s="28"/>
      <c r="D47" s="28"/>
      <c r="E47" s="28"/>
      <c r="F47" s="12"/>
      <c r="G47" s="12"/>
      <c r="H47" s="12"/>
      <c r="I47" s="12"/>
      <c r="J47" s="12"/>
      <c r="K47" s="12"/>
    </row>
    <row r="48" spans="1:11" ht="20.25">
      <c r="B48" s="12"/>
      <c r="C48" s="12"/>
      <c r="D48" s="31" t="str">
        <f>+'S&amp;D'!A12</f>
        <v>Natural Gas Transmission Pipeline Carrier</v>
      </c>
      <c r="E48" s="12"/>
      <c r="F48" s="12"/>
      <c r="G48" s="12"/>
      <c r="H48" s="12"/>
      <c r="I48" s="12"/>
      <c r="J48" s="12"/>
      <c r="K48" s="12"/>
    </row>
    <row r="49" spans="2:11" ht="18.75" thickBot="1">
      <c r="B49" s="12"/>
      <c r="C49" s="28"/>
      <c r="D49" s="143" t="s">
        <v>66</v>
      </c>
      <c r="E49" s="28"/>
      <c r="F49" s="12"/>
      <c r="G49" s="12"/>
      <c r="H49" s="12"/>
      <c r="I49" s="12"/>
      <c r="J49" s="12"/>
      <c r="K49" s="12"/>
    </row>
    <row r="50" spans="2:11">
      <c r="B50" s="12"/>
      <c r="C50" s="12"/>
      <c r="D50" s="12"/>
      <c r="E50" s="12"/>
      <c r="F50" s="12"/>
      <c r="G50" s="12"/>
      <c r="H50" s="12"/>
      <c r="I50" s="12"/>
      <c r="J50" s="12"/>
      <c r="K50" s="12"/>
    </row>
    <row r="51" spans="2:11" ht="15.75" thickBot="1">
      <c r="B51" s="28"/>
      <c r="C51" s="28"/>
      <c r="D51" s="36" t="s">
        <v>0</v>
      </c>
      <c r="E51" s="28"/>
      <c r="F51" s="28"/>
      <c r="G51" s="28"/>
      <c r="H51" s="12"/>
      <c r="I51" s="12"/>
      <c r="J51" s="12"/>
      <c r="K51" s="12"/>
    </row>
    <row r="52" spans="2:11">
      <c r="B52" s="34" t="s">
        <v>32</v>
      </c>
      <c r="C52" s="34" t="s">
        <v>33</v>
      </c>
      <c r="D52" s="34" t="s">
        <v>68</v>
      </c>
      <c r="E52" s="34" t="s">
        <v>69</v>
      </c>
      <c r="F52" s="34" t="s">
        <v>67</v>
      </c>
      <c r="G52" s="34" t="s">
        <v>35</v>
      </c>
      <c r="H52" s="12"/>
      <c r="I52" s="12"/>
      <c r="J52" s="12"/>
      <c r="K52" s="12"/>
    </row>
    <row r="53" spans="2:11" ht="15.75" thickBot="1">
      <c r="B53" s="36" t="s">
        <v>33</v>
      </c>
      <c r="C53" s="36" t="s">
        <v>36</v>
      </c>
      <c r="D53" s="36" t="s">
        <v>37</v>
      </c>
      <c r="E53" s="36" t="s">
        <v>23</v>
      </c>
      <c r="F53" s="36" t="s">
        <v>38</v>
      </c>
      <c r="G53" s="36" t="s">
        <v>70</v>
      </c>
      <c r="H53" s="12"/>
      <c r="I53" s="12"/>
      <c r="J53" s="12"/>
      <c r="K53" s="12"/>
    </row>
    <row r="54" spans="2:11">
      <c r="B54" s="38" t="s">
        <v>0</v>
      </c>
      <c r="C54" s="38" t="s">
        <v>0</v>
      </c>
      <c r="D54" s="38" t="s">
        <v>0</v>
      </c>
      <c r="E54" s="38" t="s">
        <v>0</v>
      </c>
      <c r="F54" s="38" t="s">
        <v>0</v>
      </c>
      <c r="G54" s="38" t="s">
        <v>0</v>
      </c>
      <c r="H54" s="12"/>
      <c r="I54" s="12"/>
      <c r="J54" s="12"/>
      <c r="K54" s="12"/>
    </row>
    <row r="55" spans="2:11">
      <c r="B55" s="34"/>
      <c r="C55" s="34"/>
      <c r="D55" s="34"/>
      <c r="E55" s="34"/>
      <c r="F55" s="34"/>
      <c r="G55" s="34"/>
      <c r="H55" s="12"/>
      <c r="I55" s="12"/>
      <c r="J55" s="12"/>
      <c r="K55" s="12"/>
    </row>
    <row r="56" spans="2:11" ht="15.75">
      <c r="B56" s="89" t="s">
        <v>40</v>
      </c>
      <c r="C56" s="144">
        <f>'S&amp;D'!I53</f>
        <v>0.59</v>
      </c>
      <c r="D56" s="144">
        <f>+'Direct GCF'!H34</f>
        <v>0.14095000000000002</v>
      </c>
      <c r="E56" s="102" t="s">
        <v>41</v>
      </c>
      <c r="F56" s="144">
        <f>+D56</f>
        <v>0.14095000000000002</v>
      </c>
      <c r="G56" s="145">
        <f>+F56*C56</f>
        <v>8.3160500000000012E-2</v>
      </c>
      <c r="H56" s="12"/>
      <c r="I56" s="12"/>
      <c r="J56" s="12"/>
      <c r="K56" s="12"/>
    </row>
    <row r="57" spans="2:11" ht="15.75">
      <c r="B57" s="89" t="s">
        <v>0</v>
      </c>
      <c r="C57" s="102" t="s">
        <v>0</v>
      </c>
      <c r="D57" s="102" t="s">
        <v>0</v>
      </c>
      <c r="E57" s="102" t="s">
        <v>0</v>
      </c>
      <c r="F57" s="146" t="s">
        <v>0</v>
      </c>
      <c r="G57" s="127" t="s">
        <v>0</v>
      </c>
      <c r="H57" s="12"/>
      <c r="I57" s="12"/>
      <c r="J57" s="12"/>
      <c r="K57" s="12"/>
    </row>
    <row r="58" spans="2:11" ht="15.75">
      <c r="B58" s="89" t="s">
        <v>42</v>
      </c>
      <c r="C58" s="144">
        <f>'S&amp;D'!J53</f>
        <v>0.41</v>
      </c>
      <c r="D58" s="144">
        <f>+'Direct Debt'!I35</f>
        <v>4.6300000000000001E-2</v>
      </c>
      <c r="E58" s="144">
        <v>0.26</v>
      </c>
      <c r="F58" s="144">
        <f>+D58*(1-E58)</f>
        <v>3.4262000000000001E-2</v>
      </c>
      <c r="G58" s="145">
        <f>+C58*F58</f>
        <v>1.404742E-2</v>
      </c>
      <c r="H58" s="12"/>
      <c r="I58" s="12"/>
      <c r="J58" s="12"/>
      <c r="K58" s="12"/>
    </row>
    <row r="59" spans="2:11" ht="16.5" thickBot="1">
      <c r="B59" s="96" t="s">
        <v>0</v>
      </c>
      <c r="C59" s="96" t="s">
        <v>0</v>
      </c>
      <c r="D59" s="96" t="s">
        <v>0</v>
      </c>
      <c r="E59" s="96" t="s">
        <v>0</v>
      </c>
      <c r="F59" s="147" t="s">
        <v>0</v>
      </c>
      <c r="G59" s="148" t="s">
        <v>0</v>
      </c>
      <c r="H59" s="12"/>
      <c r="I59" s="12"/>
      <c r="J59" s="12"/>
      <c r="K59" s="12"/>
    </row>
    <row r="60" spans="2:11" ht="15.75">
      <c r="B60" s="89" t="s">
        <v>43</v>
      </c>
      <c r="C60" s="149">
        <f>+C56+C58</f>
        <v>1</v>
      </c>
      <c r="D60" s="89" t="s">
        <v>0</v>
      </c>
      <c r="E60" s="89" t="s">
        <v>0</v>
      </c>
      <c r="F60" s="150" t="s">
        <v>0</v>
      </c>
      <c r="G60" s="145">
        <f>+G56+G58</f>
        <v>9.7207920000000017E-2</v>
      </c>
      <c r="H60" s="12"/>
      <c r="I60" s="12"/>
      <c r="J60" s="12"/>
      <c r="K60" s="12"/>
    </row>
    <row r="61" spans="2:11" ht="16.5" thickBot="1">
      <c r="B61" s="62"/>
      <c r="C61" s="62"/>
      <c r="D61" s="62"/>
      <c r="E61" s="62"/>
      <c r="F61" s="62"/>
      <c r="G61" s="151"/>
      <c r="H61" s="12"/>
      <c r="I61" s="12"/>
      <c r="J61" s="12"/>
      <c r="K61" s="12"/>
    </row>
    <row r="62" spans="2:11" ht="16.5" thickBot="1">
      <c r="B62" s="12"/>
      <c r="C62" s="12"/>
      <c r="D62" s="12"/>
      <c r="E62" s="12"/>
      <c r="F62" s="215" t="s">
        <v>75</v>
      </c>
      <c r="G62" s="320">
        <v>9.7199999999999995E-2</v>
      </c>
      <c r="H62" s="12"/>
      <c r="I62" s="12"/>
      <c r="J62" s="12"/>
      <c r="K62" s="12"/>
    </row>
    <row r="63" spans="2:11" ht="15.75" thickBot="1"/>
    <row r="64" spans="2:11" ht="16.5" thickBot="1">
      <c r="F64" s="215" t="s">
        <v>239</v>
      </c>
      <c r="G64" s="251">
        <f>1/G62</f>
        <v>10.2880658436214</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N77"/>
  <sheetViews>
    <sheetView view="pageBreakPreview" zoomScale="60" zoomScaleNormal="80" zoomScalePageLayoutView="70" workbookViewId="0">
      <pane xSplit="1" topLeftCell="D1" activePane="topRight" state="frozen"/>
      <selection pane="topRight" activeCell="I8" sqref="I8"/>
    </sheetView>
  </sheetViews>
  <sheetFormatPr defaultRowHeight="15"/>
  <cols>
    <col min="1" max="1" width="63" customWidth="1"/>
    <col min="2" max="2" width="11.5703125" bestFit="1" customWidth="1"/>
    <col min="3" max="3" width="26.570312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12.85546875" customWidth="1"/>
    <col min="12" max="12" width="25.85546875" bestFit="1" customWidth="1"/>
    <col min="13" max="13" width="30.140625" bestFit="1" customWidth="1"/>
    <col min="14" max="14" width="9.140625" customWidth="1"/>
  </cols>
  <sheetData>
    <row r="1" spans="1:12" ht="20.25">
      <c r="A1" s="23" t="s">
        <v>1</v>
      </c>
      <c r="B1" s="12"/>
      <c r="C1" s="12"/>
      <c r="D1" s="12"/>
      <c r="E1" s="12"/>
      <c r="F1" s="12"/>
      <c r="G1" s="12"/>
      <c r="H1" s="12"/>
      <c r="I1" s="12"/>
      <c r="J1" s="12"/>
      <c r="K1" s="12"/>
    </row>
    <row r="2" spans="1:12" ht="15.75">
      <c r="A2" s="24" t="s">
        <v>9</v>
      </c>
      <c r="B2" s="12"/>
      <c r="C2" s="12"/>
      <c r="D2" s="12"/>
      <c r="E2" s="12"/>
      <c r="F2" s="12"/>
      <c r="G2" s="12"/>
      <c r="H2" s="12"/>
      <c r="I2" s="12"/>
      <c r="J2" s="12"/>
      <c r="K2" s="12"/>
    </row>
    <row r="3" spans="1:12">
      <c r="A3" s="25" t="s">
        <v>63</v>
      </c>
      <c r="B3" s="12"/>
      <c r="C3" s="12"/>
      <c r="D3" s="12"/>
      <c r="E3" s="12"/>
      <c r="F3" s="12"/>
      <c r="G3" s="12"/>
      <c r="H3" s="12"/>
      <c r="I3" s="12"/>
      <c r="J3" s="12"/>
      <c r="K3" s="12"/>
    </row>
    <row r="4" spans="1:12">
      <c r="A4" s="25"/>
      <c r="B4" s="12"/>
      <c r="C4" s="12"/>
      <c r="D4" s="12"/>
      <c r="E4" s="12"/>
      <c r="F4" s="213" t="s">
        <v>0</v>
      </c>
      <c r="G4" s="12"/>
      <c r="H4" s="12"/>
      <c r="I4" s="12"/>
      <c r="J4" s="12"/>
      <c r="K4" s="12"/>
    </row>
    <row r="5" spans="1:12">
      <c r="B5" s="12"/>
      <c r="C5" s="12"/>
      <c r="D5" s="12"/>
      <c r="E5" s="26"/>
      <c r="F5" s="213" t="s">
        <v>0</v>
      </c>
      <c r="G5" s="12"/>
      <c r="H5" s="12"/>
      <c r="I5" s="12"/>
      <c r="J5" s="12"/>
      <c r="K5" s="12" t="s">
        <v>0</v>
      </c>
    </row>
    <row r="6" spans="1:12">
      <c r="A6" s="12"/>
      <c r="B6" s="12"/>
      <c r="C6" s="12"/>
      <c r="D6" s="12"/>
      <c r="E6" s="12"/>
      <c r="F6" s="12"/>
      <c r="G6" s="12"/>
      <c r="H6" s="12"/>
      <c r="I6" s="12"/>
      <c r="J6" s="12"/>
      <c r="K6" s="12"/>
    </row>
    <row r="7" spans="1:12">
      <c r="A7" s="12"/>
      <c r="B7" s="34"/>
      <c r="C7" s="34"/>
      <c r="D7" s="34"/>
      <c r="E7" s="34"/>
      <c r="F7" s="34"/>
      <c r="G7" s="14"/>
      <c r="H7" s="43"/>
      <c r="I7" s="43"/>
      <c r="J7" s="84"/>
      <c r="K7" s="84"/>
      <c r="L7" s="3"/>
    </row>
    <row r="8" spans="1:12">
      <c r="A8" s="85"/>
      <c r="B8" s="34"/>
      <c r="C8" s="34"/>
      <c r="D8" s="34"/>
      <c r="E8" s="34"/>
      <c r="F8" s="34"/>
      <c r="G8" s="14"/>
      <c r="H8" s="43"/>
      <c r="I8" s="43"/>
      <c r="J8" s="84"/>
      <c r="K8" s="84"/>
      <c r="L8" s="3"/>
    </row>
    <row r="9" spans="1:12">
      <c r="A9" s="85"/>
      <c r="B9" s="34"/>
      <c r="C9" s="34"/>
      <c r="D9" s="34"/>
      <c r="E9" s="34"/>
      <c r="F9" s="34"/>
      <c r="G9" s="14"/>
      <c r="H9" s="43"/>
      <c r="I9" s="43"/>
      <c r="J9" s="84"/>
      <c r="K9" s="84"/>
      <c r="L9" s="3"/>
    </row>
    <row r="10" spans="1:12">
      <c r="A10" s="43"/>
      <c r="D10" s="43"/>
      <c r="E10" s="43"/>
      <c r="F10" s="43"/>
      <c r="G10" s="43"/>
      <c r="H10" s="43"/>
      <c r="I10" s="43"/>
      <c r="J10" s="43"/>
      <c r="K10" s="43"/>
      <c r="L10" s="2"/>
    </row>
    <row r="11" spans="1:12" ht="15.75" thickBot="1">
      <c r="A11" s="43"/>
      <c r="D11" s="43"/>
      <c r="E11" s="86"/>
      <c r="F11" s="28"/>
      <c r="G11" s="86"/>
      <c r="H11" s="43"/>
      <c r="I11" s="43"/>
      <c r="J11" s="43"/>
      <c r="K11" s="43"/>
      <c r="L11" s="2"/>
    </row>
    <row r="12" spans="1:12" ht="21" thickBot="1">
      <c r="A12" s="27" t="s">
        <v>476</v>
      </c>
      <c r="D12" s="43"/>
      <c r="E12" s="43"/>
      <c r="F12" s="31" t="s">
        <v>78</v>
      </c>
      <c r="G12" s="43"/>
      <c r="H12" s="43"/>
      <c r="I12" s="43"/>
      <c r="J12" s="43"/>
      <c r="K12" s="12"/>
    </row>
    <row r="13" spans="1:12" ht="18.75" thickBot="1">
      <c r="A13" s="30"/>
      <c r="D13" s="43"/>
      <c r="E13" s="86"/>
      <c r="F13" s="36" t="s">
        <v>77</v>
      </c>
      <c r="G13" s="86"/>
      <c r="H13" s="43"/>
      <c r="I13" s="43" t="s">
        <v>0</v>
      </c>
      <c r="J13" s="43"/>
      <c r="K13" s="12"/>
    </row>
    <row r="14" spans="1:12" ht="18">
      <c r="A14" s="30"/>
      <c r="B14" s="43"/>
      <c r="C14" s="43"/>
      <c r="D14" s="43"/>
      <c r="E14" s="43"/>
      <c r="F14" s="13" t="s">
        <v>0</v>
      </c>
      <c r="G14" s="43"/>
      <c r="H14" s="43"/>
      <c r="I14" s="43"/>
      <c r="J14" s="43"/>
      <c r="K14" s="12"/>
    </row>
    <row r="15" spans="1:12" ht="15.75" thickBot="1">
      <c r="A15" s="41" t="s">
        <v>0</v>
      </c>
      <c r="B15" s="41" t="s">
        <v>0</v>
      </c>
      <c r="C15" s="41" t="s">
        <v>0</v>
      </c>
      <c r="D15" s="41"/>
      <c r="E15" s="41"/>
      <c r="F15" s="41"/>
      <c r="G15" s="41" t="s">
        <v>0</v>
      </c>
      <c r="H15" s="86"/>
      <c r="I15" s="86"/>
      <c r="J15" s="86"/>
      <c r="K15" s="12"/>
    </row>
    <row r="16" spans="1:12" ht="15.75">
      <c r="A16" s="267"/>
      <c r="B16" s="268"/>
      <c r="C16" s="286"/>
      <c r="D16" s="252" t="s">
        <v>13</v>
      </c>
      <c r="E16" s="282" t="s">
        <v>13</v>
      </c>
      <c r="F16" s="252" t="s">
        <v>13</v>
      </c>
      <c r="G16" s="269" t="s">
        <v>250</v>
      </c>
      <c r="H16" s="283" t="s">
        <v>394</v>
      </c>
      <c r="I16" s="269" t="s">
        <v>394</v>
      </c>
      <c r="J16" s="283" t="s">
        <v>394</v>
      </c>
      <c r="K16" s="12"/>
    </row>
    <row r="17" spans="1:14" ht="15.75">
      <c r="A17" s="87" t="s">
        <v>0</v>
      </c>
      <c r="B17" s="88" t="s">
        <v>3</v>
      </c>
      <c r="C17" s="255" t="s">
        <v>5</v>
      </c>
      <c r="D17" s="90" t="s">
        <v>10</v>
      </c>
      <c r="E17" s="284" t="s">
        <v>10</v>
      </c>
      <c r="F17" s="90" t="s">
        <v>19</v>
      </c>
      <c r="G17" s="91" t="s">
        <v>394</v>
      </c>
      <c r="H17" s="88" t="s">
        <v>12</v>
      </c>
      <c r="I17" s="92" t="s">
        <v>11</v>
      </c>
      <c r="J17" s="93" t="s">
        <v>156</v>
      </c>
      <c r="K17" s="12"/>
    </row>
    <row r="18" spans="1:14" ht="15.75">
      <c r="A18" s="87" t="s">
        <v>2</v>
      </c>
      <c r="B18" s="88" t="s">
        <v>4</v>
      </c>
      <c r="C18" s="255" t="s">
        <v>6</v>
      </c>
      <c r="D18" s="90" t="s">
        <v>46</v>
      </c>
      <c r="E18" s="284" t="s">
        <v>47</v>
      </c>
      <c r="F18" s="90" t="s">
        <v>10</v>
      </c>
      <c r="G18" s="91" t="s">
        <v>10</v>
      </c>
      <c r="H18" s="88" t="s">
        <v>74</v>
      </c>
      <c r="I18" s="273" t="s">
        <v>395</v>
      </c>
      <c r="J18" s="93" t="s">
        <v>251</v>
      </c>
      <c r="K18" s="12" t="s">
        <v>0</v>
      </c>
    </row>
    <row r="19" spans="1:14" ht="18" thickBot="1">
      <c r="A19" s="94" t="s">
        <v>0</v>
      </c>
      <c r="B19" s="95" t="s">
        <v>0</v>
      </c>
      <c r="C19" s="115" t="s">
        <v>0</v>
      </c>
      <c r="D19" s="400" t="s">
        <v>450</v>
      </c>
      <c r="E19" s="400" t="s">
        <v>450</v>
      </c>
      <c r="F19" s="400" t="s">
        <v>450</v>
      </c>
      <c r="G19" s="400" t="s">
        <v>450</v>
      </c>
      <c r="H19" s="97" t="s">
        <v>62</v>
      </c>
      <c r="I19" s="98" t="s">
        <v>61</v>
      </c>
      <c r="J19" s="97" t="s">
        <v>61</v>
      </c>
      <c r="K19" s="12"/>
    </row>
    <row r="20" spans="1:14">
      <c r="A20" s="287" t="s">
        <v>7</v>
      </c>
      <c r="B20" s="310" t="s">
        <v>7</v>
      </c>
      <c r="C20" s="287" t="s">
        <v>7</v>
      </c>
      <c r="D20" s="317" t="s">
        <v>7</v>
      </c>
      <c r="E20" s="317" t="s">
        <v>7</v>
      </c>
      <c r="F20" s="42" t="s">
        <v>15</v>
      </c>
      <c r="G20" s="287" t="s">
        <v>7</v>
      </c>
      <c r="H20" s="287" t="s">
        <v>8</v>
      </c>
      <c r="I20" s="287" t="s">
        <v>8</v>
      </c>
      <c r="J20" s="287" t="s">
        <v>8</v>
      </c>
      <c r="K20" s="12"/>
    </row>
    <row r="21" spans="1:14" ht="15.75">
      <c r="A21" s="88"/>
      <c r="B21" s="89"/>
      <c r="C21" s="88"/>
      <c r="D21" s="255"/>
      <c r="E21" s="89"/>
      <c r="F21" s="87"/>
      <c r="G21" s="88"/>
      <c r="H21" s="88"/>
      <c r="I21" s="117"/>
      <c r="J21" s="100"/>
      <c r="K21" s="12"/>
    </row>
    <row r="22" spans="1:14" ht="15.75">
      <c r="A22" s="382" t="s">
        <v>386</v>
      </c>
      <c r="B22" s="79" t="s">
        <v>387</v>
      </c>
      <c r="C22" s="88" t="s">
        <v>388</v>
      </c>
      <c r="D22" s="103">
        <v>40.229999999999997</v>
      </c>
      <c r="E22" s="103">
        <v>37.53</v>
      </c>
      <c r="F22" s="103">
        <f t="shared" ref="F22:F30" si="0">AVERAGE(D22,E22)</f>
        <v>38.879999999999995</v>
      </c>
      <c r="G22" s="103">
        <v>38.79</v>
      </c>
      <c r="H22" s="104">
        <v>208396558</v>
      </c>
      <c r="I22" s="345">
        <f>(156+106)*1000000</f>
        <v>262000000</v>
      </c>
      <c r="J22" s="346">
        <f>4357000000+506000000</f>
        <v>4863000000</v>
      </c>
      <c r="K22" s="12"/>
    </row>
    <row r="23" spans="1:14" ht="15.75">
      <c r="A23" s="382" t="s">
        <v>428</v>
      </c>
      <c r="B23" s="79" t="s">
        <v>429</v>
      </c>
      <c r="C23" s="88" t="s">
        <v>430</v>
      </c>
      <c r="D23" s="103">
        <v>56.37</v>
      </c>
      <c r="E23" s="103">
        <v>48.88</v>
      </c>
      <c r="F23" s="103">
        <f t="shared" si="0"/>
        <v>52.625</v>
      </c>
      <c r="G23" s="103">
        <v>52.92</v>
      </c>
      <c r="H23" s="104">
        <v>2025000000</v>
      </c>
      <c r="I23" s="345">
        <f>6818000000*0.7369</f>
        <v>5024184200</v>
      </c>
      <c r="J23" s="346">
        <f>(72939000000+6045000000)*0.7369</f>
        <v>58203309600</v>
      </c>
      <c r="M23" s="12" t="s">
        <v>441</v>
      </c>
      <c r="N23" s="211"/>
    </row>
    <row r="24" spans="1:14" ht="15.75">
      <c r="A24" s="382" t="s">
        <v>389</v>
      </c>
      <c r="B24" s="79" t="s">
        <v>390</v>
      </c>
      <c r="C24" s="88" t="s">
        <v>388</v>
      </c>
      <c r="D24" s="59">
        <v>12.95</v>
      </c>
      <c r="E24" s="103">
        <v>11.08</v>
      </c>
      <c r="F24" s="59">
        <f t="shared" si="0"/>
        <v>12.015000000000001</v>
      </c>
      <c r="G24" s="103">
        <v>11.87</v>
      </c>
      <c r="H24" s="104">
        <v>3094445367</v>
      </c>
      <c r="I24" s="345">
        <v>6051000000</v>
      </c>
      <c r="J24" s="345">
        <f>(2+48260)*1000000</f>
        <v>48262000000</v>
      </c>
      <c r="M24" s="12"/>
    </row>
    <row r="25" spans="1:14" ht="15.75">
      <c r="A25" s="382" t="s">
        <v>431</v>
      </c>
      <c r="B25" s="79" t="s">
        <v>432</v>
      </c>
      <c r="C25" s="88" t="s">
        <v>430</v>
      </c>
      <c r="D25" s="103">
        <v>13.06</v>
      </c>
      <c r="E25" s="103">
        <v>9.09</v>
      </c>
      <c r="F25" s="103">
        <f t="shared" si="0"/>
        <v>11.074999999999999</v>
      </c>
      <c r="G25" s="103">
        <v>12.3</v>
      </c>
      <c r="H25" s="104">
        <v>468980630</v>
      </c>
      <c r="I25" s="345">
        <v>0</v>
      </c>
      <c r="J25" s="346">
        <v>4723500000</v>
      </c>
      <c r="M25" s="12"/>
    </row>
    <row r="26" spans="1:14" ht="15.75">
      <c r="A26" s="382" t="s">
        <v>391</v>
      </c>
      <c r="B26" s="92" t="s">
        <v>392</v>
      </c>
      <c r="C26" s="88" t="s">
        <v>388</v>
      </c>
      <c r="D26" s="103">
        <v>25.74</v>
      </c>
      <c r="E26" s="103">
        <v>23.14</v>
      </c>
      <c r="F26" s="103">
        <f>AVERAGE(D26,E26)</f>
        <v>24.439999999999998</v>
      </c>
      <c r="G26" s="103">
        <v>24.12</v>
      </c>
      <c r="H26" s="383">
        <v>2170806347</v>
      </c>
      <c r="I26" s="345">
        <v>49000000</v>
      </c>
      <c r="J26" s="401">
        <f>26551000000+1744000000</f>
        <v>28295000000</v>
      </c>
      <c r="M26" s="12"/>
    </row>
    <row r="27" spans="1:14" ht="15.75">
      <c r="A27" s="382" t="s">
        <v>433</v>
      </c>
      <c r="B27" s="92" t="s">
        <v>434</v>
      </c>
      <c r="C27" s="88" t="s">
        <v>430</v>
      </c>
      <c r="D27" s="103">
        <v>19.36</v>
      </c>
      <c r="E27" s="103">
        <v>16.84</v>
      </c>
      <c r="F27" s="103">
        <f>AVERAGE(D27,E27)</f>
        <v>18.100000000000001</v>
      </c>
      <c r="G27" s="103">
        <v>18.079999999999998</v>
      </c>
      <c r="H27" s="104">
        <v>2247681626</v>
      </c>
      <c r="I27" s="345">
        <v>0</v>
      </c>
      <c r="J27" s="346">
        <f>(3385+28288)*1000000</f>
        <v>31673000000</v>
      </c>
      <c r="M27" s="12"/>
      <c r="N27" t="s">
        <v>0</v>
      </c>
    </row>
    <row r="28" spans="1:14" ht="15.75">
      <c r="A28" s="382" t="s">
        <v>435</v>
      </c>
      <c r="B28" s="92" t="s">
        <v>436</v>
      </c>
      <c r="C28" s="88" t="s">
        <v>430</v>
      </c>
      <c r="D28" s="103">
        <v>68.17</v>
      </c>
      <c r="E28" s="103">
        <v>52.47</v>
      </c>
      <c r="F28" s="103">
        <f t="shared" si="0"/>
        <v>60.32</v>
      </c>
      <c r="G28" s="103">
        <v>65.7</v>
      </c>
      <c r="H28" s="104">
        <f>447157771</f>
        <v>447157771</v>
      </c>
      <c r="I28" s="345"/>
      <c r="J28" s="104">
        <f>925000000+12695834000</f>
        <v>13620834000</v>
      </c>
      <c r="M28" s="12"/>
      <c r="N28" t="s">
        <v>0</v>
      </c>
    </row>
    <row r="29" spans="1:14" ht="15.75">
      <c r="A29" s="382" t="s">
        <v>437</v>
      </c>
      <c r="B29" s="92" t="s">
        <v>438</v>
      </c>
      <c r="C29" s="88" t="s">
        <v>430</v>
      </c>
      <c r="D29" s="103">
        <v>49.51</v>
      </c>
      <c r="E29" s="103">
        <v>39.11</v>
      </c>
      <c r="F29" s="103">
        <f>AVERAGE(D29,E29)</f>
        <v>44.31</v>
      </c>
      <c r="G29" s="103">
        <v>39.86</v>
      </c>
      <c r="H29" s="104">
        <v>1018000000</v>
      </c>
      <c r="I29" s="345">
        <f>2499000000*0.7369</f>
        <v>1841513100</v>
      </c>
      <c r="J29" s="346">
        <f>(1898000000+39645000000)*0.7369</f>
        <v>30613036700</v>
      </c>
      <c r="M29" s="12" t="s">
        <v>441</v>
      </c>
      <c r="N29" s="211"/>
    </row>
    <row r="30" spans="1:14" ht="16.5" thickBot="1">
      <c r="A30" s="384" t="s">
        <v>439</v>
      </c>
      <c r="B30" s="385" t="s">
        <v>440</v>
      </c>
      <c r="C30" s="95" t="s">
        <v>430</v>
      </c>
      <c r="D30" s="398">
        <v>35.46</v>
      </c>
      <c r="E30" s="398">
        <v>28.96</v>
      </c>
      <c r="F30" s="398">
        <f t="shared" si="0"/>
        <v>32.21</v>
      </c>
      <c r="G30" s="398">
        <v>32.9</v>
      </c>
      <c r="H30" s="386">
        <f>1470000000-35000000</f>
        <v>1435000000</v>
      </c>
      <c r="I30" s="343">
        <v>35000000</v>
      </c>
      <c r="J30" s="344">
        <f>(21927+627)*1000000</f>
        <v>22554000000</v>
      </c>
      <c r="K30" s="12"/>
      <c r="L30" t="s">
        <v>0</v>
      </c>
    </row>
    <row r="31" spans="1:14" ht="15.75">
      <c r="A31" s="105"/>
      <c r="B31" s="105"/>
      <c r="C31" s="105"/>
      <c r="D31" s="105"/>
      <c r="E31" s="105"/>
      <c r="F31" s="105"/>
      <c r="G31" s="105"/>
      <c r="H31" s="105"/>
      <c r="I31" s="105"/>
      <c r="J31" s="105"/>
      <c r="K31" s="12"/>
      <c r="L31" t="s">
        <v>0</v>
      </c>
    </row>
    <row r="32" spans="1:14" ht="16.5" thickBot="1">
      <c r="A32" s="106" t="s">
        <v>0</v>
      </c>
      <c r="B32" s="107"/>
      <c r="C32" s="107"/>
      <c r="D32" s="107"/>
      <c r="E32" s="107"/>
      <c r="F32" s="28"/>
      <c r="G32" s="107"/>
      <c r="H32" s="107"/>
      <c r="I32" s="107"/>
      <c r="J32" s="105"/>
      <c r="K32" s="105"/>
      <c r="L32" s="4"/>
    </row>
    <row r="33" spans="1:12" ht="15.75">
      <c r="A33" s="108"/>
      <c r="B33" s="109"/>
      <c r="C33" s="109"/>
      <c r="D33" s="109"/>
      <c r="E33" s="110" t="s">
        <v>0</v>
      </c>
      <c r="F33" s="110" t="s">
        <v>0</v>
      </c>
      <c r="G33" s="111"/>
      <c r="H33" s="109"/>
      <c r="I33" s="109"/>
      <c r="J33" s="112"/>
      <c r="K33" s="105"/>
      <c r="L33" s="4"/>
    </row>
    <row r="34" spans="1:12" ht="15.75">
      <c r="A34" s="87"/>
      <c r="B34" s="89"/>
      <c r="C34" s="89"/>
      <c r="D34" s="91" t="s">
        <v>394</v>
      </c>
      <c r="E34" s="89" t="s">
        <v>394</v>
      </c>
      <c r="F34" s="89" t="s">
        <v>394</v>
      </c>
      <c r="G34" s="91" t="s">
        <v>394</v>
      </c>
      <c r="H34" s="91" t="s">
        <v>394</v>
      </c>
      <c r="I34" s="91" t="s">
        <v>394</v>
      </c>
      <c r="J34" s="113" t="s">
        <v>394</v>
      </c>
      <c r="K34" s="12"/>
      <c r="L34" s="5"/>
    </row>
    <row r="35" spans="1:12" ht="15.75">
      <c r="A35" s="87" t="s">
        <v>0</v>
      </c>
      <c r="B35" s="89" t="s">
        <v>3</v>
      </c>
      <c r="C35" s="89" t="s">
        <v>5</v>
      </c>
      <c r="D35" s="89" t="s">
        <v>12</v>
      </c>
      <c r="E35" s="102" t="s">
        <v>155</v>
      </c>
      <c r="F35" s="102" t="s">
        <v>307</v>
      </c>
      <c r="G35" s="89" t="s">
        <v>214</v>
      </c>
      <c r="H35" s="102" t="s">
        <v>16</v>
      </c>
      <c r="I35" s="102" t="s">
        <v>17</v>
      </c>
      <c r="J35" s="114" t="s">
        <v>52</v>
      </c>
      <c r="K35" s="12"/>
      <c r="L35" s="5"/>
    </row>
    <row r="36" spans="1:12" ht="16.5" thickBot="1">
      <c r="A36" s="94" t="s">
        <v>2</v>
      </c>
      <c r="B36" s="96" t="s">
        <v>4</v>
      </c>
      <c r="C36" s="96" t="s">
        <v>6</v>
      </c>
      <c r="D36" s="96" t="s">
        <v>14</v>
      </c>
      <c r="E36" s="96" t="s">
        <v>14</v>
      </c>
      <c r="F36" s="96" t="s">
        <v>320</v>
      </c>
      <c r="G36" s="96" t="s">
        <v>14</v>
      </c>
      <c r="H36" s="96" t="s">
        <v>375</v>
      </c>
      <c r="I36" s="96" t="s">
        <v>0</v>
      </c>
      <c r="J36" s="115" t="s">
        <v>376</v>
      </c>
      <c r="K36" s="12"/>
      <c r="L36" s="1"/>
    </row>
    <row r="37" spans="1:12" ht="15.75">
      <c r="A37" s="309" t="s">
        <v>7</v>
      </c>
      <c r="B37" s="310" t="s">
        <v>7</v>
      </c>
      <c r="C37" s="310" t="s">
        <v>7</v>
      </c>
      <c r="D37" s="310" t="s">
        <v>15</v>
      </c>
      <c r="E37" s="310" t="s">
        <v>8</v>
      </c>
      <c r="F37" s="310" t="s">
        <v>8</v>
      </c>
      <c r="G37" s="310" t="s">
        <v>8</v>
      </c>
      <c r="H37" s="310" t="s">
        <v>15</v>
      </c>
      <c r="I37" s="310" t="s">
        <v>15</v>
      </c>
      <c r="J37" s="317" t="s">
        <v>15</v>
      </c>
      <c r="K37" s="12"/>
      <c r="L37" s="5"/>
    </row>
    <row r="38" spans="1:12" ht="15.75">
      <c r="A38" s="87"/>
      <c r="B38" s="89"/>
      <c r="C38" s="89"/>
      <c r="D38" s="105"/>
      <c r="E38" s="105"/>
      <c r="F38" s="105"/>
      <c r="G38" s="105"/>
      <c r="H38" s="62"/>
      <c r="I38" s="62"/>
      <c r="J38" s="117"/>
      <c r="K38" s="12"/>
      <c r="L38" s="4"/>
    </row>
    <row r="39" spans="1:12" ht="15.75">
      <c r="A39" s="101" t="str">
        <f t="shared" ref="A39:C47" si="1">+A22</f>
        <v>DCP Midstream LP</v>
      </c>
      <c r="B39" s="89" t="str">
        <f t="shared" si="1"/>
        <v>DCP</v>
      </c>
      <c r="C39" s="89" t="str">
        <f t="shared" si="1"/>
        <v>Pipeline MLPs</v>
      </c>
      <c r="D39" s="118">
        <f t="shared" ref="D39:D47" si="2">(+H22)*G22</f>
        <v>8083702484.8199997</v>
      </c>
      <c r="E39" s="118">
        <f t="shared" ref="E39:E47" si="3">(1/1)*I22</f>
        <v>262000000</v>
      </c>
      <c r="F39" s="118">
        <f>95000000+32000000</f>
        <v>127000000</v>
      </c>
      <c r="G39" s="118">
        <f>J22*(4772/4874)</f>
        <v>4761230201.066885</v>
      </c>
      <c r="H39" s="104">
        <f t="shared" ref="H39:H45" si="4">+D39+E39+F39+G39</f>
        <v>13233932685.886885</v>
      </c>
      <c r="I39" s="119">
        <f t="shared" ref="I39:I47" si="5">(+D39)/H39</f>
        <v>0.61083146459107618</v>
      </c>
      <c r="J39" s="120">
        <f>(+E39+F39+G39)/H39</f>
        <v>0.38916853540892388</v>
      </c>
      <c r="K39" s="12"/>
      <c r="L39" s="4"/>
    </row>
    <row r="40" spans="1:12" ht="15.75">
      <c r="A40" s="101" t="str">
        <f t="shared" si="1"/>
        <v>Enbridge Inc</v>
      </c>
      <c r="B40" s="89" t="str">
        <f t="shared" si="1"/>
        <v>ENB.TO</v>
      </c>
      <c r="C40" s="89" t="str">
        <f t="shared" si="1"/>
        <v>Oil &amp; Gas Distribution</v>
      </c>
      <c r="D40" s="118">
        <f t="shared" si="2"/>
        <v>107163000000</v>
      </c>
      <c r="E40" s="118">
        <f t="shared" si="3"/>
        <v>5024184200</v>
      </c>
      <c r="F40" s="118">
        <f>764000000*0.7369</f>
        <v>562991600</v>
      </c>
      <c r="G40" s="118">
        <f>J23*(73.5/79.3)</f>
        <v>53946321003.783104</v>
      </c>
      <c r="H40" s="104">
        <f t="shared" si="4"/>
        <v>166696496803.78311</v>
      </c>
      <c r="I40" s="119">
        <f t="shared" ref="I40:I44" si="6">(+D40)/H40</f>
        <v>0.64286293986214094</v>
      </c>
      <c r="J40" s="120">
        <f t="shared" ref="J40:J44" si="7">(+E40+F40+G40)/H40</f>
        <v>0.35713706013785895</v>
      </c>
      <c r="K40" s="12"/>
      <c r="L40" s="4"/>
    </row>
    <row r="41" spans="1:12" ht="15.75">
      <c r="A41" s="101" t="str">
        <f t="shared" si="1"/>
        <v>Energy Transfer LP</v>
      </c>
      <c r="B41" s="89" t="str">
        <f t="shared" si="1"/>
        <v>ET</v>
      </c>
      <c r="C41" s="89" t="str">
        <f t="shared" si="1"/>
        <v>Pipeline MLPs</v>
      </c>
      <c r="D41" s="118">
        <f t="shared" si="2"/>
        <v>36731066506.290001</v>
      </c>
      <c r="E41" s="118">
        <f t="shared" si="3"/>
        <v>6051000000</v>
      </c>
      <c r="F41" s="118">
        <f>(45+798)*1000000</f>
        <v>843000000</v>
      </c>
      <c r="G41" s="118">
        <f>J24*(45.42/48.26)</f>
        <v>45421882304.185661</v>
      </c>
      <c r="H41" s="104">
        <f t="shared" si="4"/>
        <v>89046948810.475662</v>
      </c>
      <c r="I41" s="119">
        <f t="shared" si="6"/>
        <v>0.41249101734487376</v>
      </c>
      <c r="J41" s="120">
        <f t="shared" si="7"/>
        <v>0.5875089826551263</v>
      </c>
      <c r="K41" s="12"/>
      <c r="L41" s="4"/>
    </row>
    <row r="42" spans="1:12" ht="15.75">
      <c r="A42" s="382" t="str">
        <f t="shared" si="1"/>
        <v>Enlink Midstream LLC</v>
      </c>
      <c r="B42" s="89" t="str">
        <f t="shared" si="1"/>
        <v>ENLC</v>
      </c>
      <c r="C42" s="89" t="str">
        <f t="shared" si="1"/>
        <v>Oil &amp; Gas Distribution</v>
      </c>
      <c r="D42" s="118">
        <f t="shared" si="2"/>
        <v>5768461749</v>
      </c>
      <c r="E42" s="118">
        <f t="shared" si="3"/>
        <v>0</v>
      </c>
      <c r="F42" s="118">
        <v>92400000</v>
      </c>
      <c r="G42" s="118">
        <f>J25*((4385.9/4723.5))</f>
        <v>4385899999.999999</v>
      </c>
      <c r="H42" s="104">
        <f t="shared" si="4"/>
        <v>10246761749</v>
      </c>
      <c r="I42" s="119">
        <f t="shared" si="6"/>
        <v>0.56295460851941392</v>
      </c>
      <c r="J42" s="120">
        <f t="shared" si="7"/>
        <v>0.43704539148058602</v>
      </c>
      <c r="K42" s="12"/>
      <c r="L42" s="4"/>
    </row>
    <row r="43" spans="1:12" ht="15.75">
      <c r="A43" s="101" t="str">
        <f t="shared" si="1"/>
        <v>Enterprise Products Partnership LP</v>
      </c>
      <c r="B43" s="89" t="str">
        <f t="shared" si="1"/>
        <v>EPD</v>
      </c>
      <c r="C43" s="89" t="str">
        <f t="shared" si="1"/>
        <v>Pipeline MLPs</v>
      </c>
      <c r="D43" s="118">
        <f t="shared" si="2"/>
        <v>52359849089.639999</v>
      </c>
      <c r="E43" s="118">
        <f t="shared" si="3"/>
        <v>49000000</v>
      </c>
      <c r="F43" s="118">
        <v>401000000</v>
      </c>
      <c r="G43" s="104">
        <f>J26*(24.2/27.5)</f>
        <v>24899600000</v>
      </c>
      <c r="H43" s="104">
        <f t="shared" si="4"/>
        <v>77709449089.639999</v>
      </c>
      <c r="I43" s="119">
        <f t="shared" si="6"/>
        <v>0.67378999211848056</v>
      </c>
      <c r="J43" s="120">
        <f t="shared" si="7"/>
        <v>0.32621000788151949</v>
      </c>
      <c r="K43" s="12"/>
      <c r="L43" s="4"/>
    </row>
    <row r="44" spans="1:12" ht="15.75">
      <c r="A44" s="101" t="str">
        <f t="shared" si="1"/>
        <v>Kinder Morgan Inc</v>
      </c>
      <c r="B44" s="89" t="str">
        <f t="shared" si="1"/>
        <v>KMI</v>
      </c>
      <c r="C44" s="89" t="str">
        <f t="shared" si="1"/>
        <v>Oil &amp; Gas Distribution</v>
      </c>
      <c r="D44" s="118">
        <f t="shared" si="2"/>
        <v>40638083798.079994</v>
      </c>
      <c r="E44" s="118">
        <f t="shared" si="3"/>
        <v>0</v>
      </c>
      <c r="F44" s="118">
        <f>(47+240)*1000000</f>
        <v>287000000</v>
      </c>
      <c r="G44" s="104">
        <f>J27*(29756/31474)</f>
        <v>29944137637.415009</v>
      </c>
      <c r="H44" s="104">
        <f t="shared" si="4"/>
        <v>70869221435.494995</v>
      </c>
      <c r="I44" s="119">
        <f t="shared" si="6"/>
        <v>0.57342359595510284</v>
      </c>
      <c r="J44" s="120">
        <f t="shared" si="7"/>
        <v>0.42657640404489727</v>
      </c>
      <c r="K44" s="12"/>
      <c r="L44" s="4"/>
    </row>
    <row r="45" spans="1:12" ht="15.75">
      <c r="A45" s="101" t="str">
        <f t="shared" si="1"/>
        <v>ONEOK Inc</v>
      </c>
      <c r="B45" s="89" t="str">
        <f t="shared" si="1"/>
        <v>OKE</v>
      </c>
      <c r="C45" s="89" t="str">
        <f t="shared" si="1"/>
        <v>Oil &amp; Gas Distribution</v>
      </c>
      <c r="D45" s="118">
        <f t="shared" si="2"/>
        <v>29378265554.700001</v>
      </c>
      <c r="E45" s="118">
        <f t="shared" si="3"/>
        <v>0</v>
      </c>
      <c r="F45" s="118">
        <f>12289000+68110000</f>
        <v>80399000</v>
      </c>
      <c r="G45" s="104">
        <f>J28*(12.7/13.6)</f>
        <v>12719455279.411764</v>
      </c>
      <c r="H45" s="104">
        <f t="shared" si="4"/>
        <v>42178119834.111763</v>
      </c>
      <c r="I45" s="119">
        <f t="shared" si="5"/>
        <v>0.69652857145472336</v>
      </c>
      <c r="J45" s="120">
        <f t="shared" ref="J45:J47" si="8">(+E45+F45+G45)/H45</f>
        <v>0.30347142854527664</v>
      </c>
      <c r="K45" s="12"/>
      <c r="L45" s="4" t="s">
        <v>0</v>
      </c>
    </row>
    <row r="46" spans="1:12" ht="15.75">
      <c r="A46" s="101" t="str">
        <f t="shared" si="1"/>
        <v>TC Energy Corp</v>
      </c>
      <c r="B46" s="89" t="str">
        <f t="shared" si="1"/>
        <v>TRP</v>
      </c>
      <c r="C46" s="89" t="str">
        <f t="shared" si="1"/>
        <v>Oil &amp; Gas Distribution</v>
      </c>
      <c r="D46" s="118">
        <f t="shared" si="2"/>
        <v>40577480000</v>
      </c>
      <c r="E46" s="118">
        <f t="shared" si="3"/>
        <v>1841513100</v>
      </c>
      <c r="F46" s="118">
        <f>433000000*0.7369</f>
        <v>319077700</v>
      </c>
      <c r="G46" s="104">
        <f>J29*(13800/12419)</f>
        <v>34017224129.15694</v>
      </c>
      <c r="H46" s="104">
        <f t="shared" ref="H46" si="9">+D46+E46+F46+G46</f>
        <v>76755294929.156937</v>
      </c>
      <c r="I46" s="119">
        <f t="shared" ref="I46" si="10">(+D46)/H46</f>
        <v>0.52866033590844663</v>
      </c>
      <c r="J46" s="120">
        <f t="shared" ref="J46" si="11">(+E46+F46+G46)/H46</f>
        <v>0.47133966409155331</v>
      </c>
      <c r="K46" s="12"/>
      <c r="L46" s="4"/>
    </row>
    <row r="47" spans="1:12" ht="16.5" thickBot="1">
      <c r="A47" s="314" t="str">
        <f t="shared" si="1"/>
        <v>Williams Companys Inc</v>
      </c>
      <c r="B47" s="96" t="str">
        <f t="shared" si="1"/>
        <v>WMB</v>
      </c>
      <c r="C47" s="96" t="str">
        <f t="shared" si="1"/>
        <v>Oil &amp; Gas Distribution</v>
      </c>
      <c r="D47" s="387">
        <f t="shared" si="2"/>
        <v>47211500000</v>
      </c>
      <c r="E47" s="387">
        <f t="shared" si="3"/>
        <v>35000000</v>
      </c>
      <c r="F47" s="387">
        <f>(25+148)*1000000</f>
        <v>173000000</v>
      </c>
      <c r="G47" s="386">
        <f>J30*(27768/23675)</f>
        <v>26453198394.931362</v>
      </c>
      <c r="H47" s="386">
        <f t="shared" ref="H47" si="12">+D47+E47+F47+G47</f>
        <v>73872698394.931366</v>
      </c>
      <c r="I47" s="388">
        <f t="shared" si="5"/>
        <v>0.63909266922405161</v>
      </c>
      <c r="J47" s="389">
        <f t="shared" si="8"/>
        <v>0.36090733077594833</v>
      </c>
      <c r="K47" s="12"/>
      <c r="L47" s="4"/>
    </row>
    <row r="48" spans="1:12" ht="15.75">
      <c r="A48" s="12"/>
      <c r="B48" s="12"/>
      <c r="C48" s="12"/>
      <c r="D48" s="12"/>
      <c r="E48" s="12"/>
      <c r="F48" s="12"/>
      <c r="G48" s="12"/>
      <c r="H48" s="123" t="s">
        <v>46</v>
      </c>
      <c r="I48" s="126">
        <v>0.69650000000000001</v>
      </c>
      <c r="J48" s="126">
        <v>0.58750000000000002</v>
      </c>
      <c r="K48" s="12"/>
    </row>
    <row r="49" spans="1:11" ht="15.75">
      <c r="E49" s="12" t="s">
        <v>0</v>
      </c>
      <c r="G49" s="12" t="s">
        <v>0</v>
      </c>
      <c r="H49" s="357" t="s">
        <v>47</v>
      </c>
      <c r="I49" s="402">
        <v>0.41249999999999998</v>
      </c>
      <c r="J49" s="402">
        <v>0.30349999999999999</v>
      </c>
      <c r="K49" s="12"/>
    </row>
    <row r="50" spans="1:11" ht="15.75">
      <c r="E50" s="124"/>
      <c r="F50" s="318" t="s">
        <v>0</v>
      </c>
      <c r="G50" s="12" t="s">
        <v>0</v>
      </c>
      <c r="H50" s="14" t="s">
        <v>18</v>
      </c>
      <c r="I50" s="125">
        <f>MEDIAN(I39:I47)</f>
        <v>0.61083146459107618</v>
      </c>
      <c r="J50" s="126">
        <f>MEDIAN(J39:J47)</f>
        <v>0.38916853540892388</v>
      </c>
      <c r="K50" s="12"/>
    </row>
    <row r="51" spans="1:11" ht="15.75">
      <c r="E51" s="319" t="s">
        <v>0</v>
      </c>
      <c r="F51" s="318" t="s">
        <v>0</v>
      </c>
      <c r="G51" s="12" t="s">
        <v>0</v>
      </c>
      <c r="H51" s="14" t="s">
        <v>460</v>
      </c>
      <c r="I51" s="125">
        <f>AVERAGE(I39:I47)</f>
        <v>0.59340391055314556</v>
      </c>
      <c r="J51" s="126">
        <f>AVERAGE(J39:J47)</f>
        <v>0.40659608944685449</v>
      </c>
      <c r="K51" s="12"/>
    </row>
    <row r="52" spans="1:11" ht="16.5" thickBot="1">
      <c r="E52" s="124"/>
      <c r="G52" s="12"/>
      <c r="H52" s="12"/>
      <c r="I52" s="62"/>
      <c r="J52" s="62"/>
      <c r="K52" s="12"/>
    </row>
    <row r="53" spans="1:11" ht="21" thickBot="1">
      <c r="E53" s="124"/>
      <c r="G53" s="12"/>
      <c r="H53" s="214" t="s">
        <v>216</v>
      </c>
      <c r="I53" s="453">
        <v>0.59</v>
      </c>
      <c r="J53" s="454">
        <v>0.41</v>
      </c>
      <c r="K53" s="12"/>
    </row>
    <row r="54" spans="1:11" ht="15.75">
      <c r="E54" s="124"/>
      <c r="F54" s="12"/>
      <c r="G54" s="12"/>
      <c r="H54" s="12"/>
      <c r="I54" s="62"/>
      <c r="J54" s="62" t="s">
        <v>0</v>
      </c>
      <c r="K54" s="12"/>
    </row>
    <row r="55" spans="1:11">
      <c r="E55" s="124"/>
      <c r="F55" s="12"/>
      <c r="G55" s="12"/>
      <c r="H55" s="12"/>
      <c r="I55" s="12"/>
      <c r="J55" s="12"/>
      <c r="K55" s="12"/>
    </row>
    <row r="56" spans="1:11">
      <c r="E56" s="124"/>
      <c r="F56" s="12"/>
      <c r="G56" s="12"/>
      <c r="H56" s="12"/>
      <c r="I56" s="12"/>
      <c r="J56" s="12"/>
      <c r="K56" s="12"/>
    </row>
    <row r="57" spans="1:11" ht="23.25">
      <c r="A57" s="22" t="s">
        <v>73</v>
      </c>
      <c r="B57" s="12"/>
      <c r="C57" s="74"/>
      <c r="D57" s="128"/>
      <c r="E57" s="124"/>
      <c r="F57" s="12"/>
      <c r="G57" s="12"/>
      <c r="H57" s="12"/>
      <c r="I57" s="12"/>
      <c r="J57" s="12"/>
      <c r="K57" s="12"/>
    </row>
    <row r="58" spans="1:11" ht="16.5">
      <c r="A58" s="85" t="s">
        <v>55</v>
      </c>
      <c r="B58" s="12"/>
      <c r="C58" s="74"/>
      <c r="D58" s="128"/>
      <c r="E58" s="124"/>
      <c r="F58" s="12"/>
      <c r="G58" s="12"/>
      <c r="H58" s="12"/>
      <c r="I58" s="12"/>
      <c r="J58" s="12"/>
      <c r="K58" s="12"/>
    </row>
    <row r="59" spans="1:11" ht="16.5">
      <c r="A59" s="12" t="s">
        <v>0</v>
      </c>
      <c r="B59" s="12"/>
      <c r="C59" s="74"/>
      <c r="D59" s="128"/>
      <c r="E59" s="124"/>
      <c r="F59" s="12"/>
      <c r="G59" s="12"/>
      <c r="H59" s="12"/>
      <c r="I59" s="12"/>
      <c r="J59" s="12"/>
      <c r="K59" s="12"/>
    </row>
    <row r="60" spans="1:11">
      <c r="A60" s="12" t="s">
        <v>159</v>
      </c>
    </row>
    <row r="61" spans="1:11">
      <c r="A61" s="12" t="s">
        <v>157</v>
      </c>
    </row>
    <row r="62" spans="1:11">
      <c r="A62" s="12" t="s">
        <v>158</v>
      </c>
    </row>
    <row r="63" spans="1:11">
      <c r="A63" s="12" t="s">
        <v>327</v>
      </c>
    </row>
    <row r="66" spans="1:5" ht="26.25">
      <c r="A66" s="285" t="s">
        <v>328</v>
      </c>
    </row>
    <row r="67" spans="1:5" ht="17.25" customHeight="1">
      <c r="A67" s="12" t="s">
        <v>442</v>
      </c>
      <c r="B67" s="342"/>
      <c r="C67" s="342"/>
      <c r="D67" s="338"/>
      <c r="E67" s="338"/>
    </row>
    <row r="68" spans="1:5">
      <c r="A68" s="12" t="s">
        <v>443</v>
      </c>
      <c r="B68" s="342"/>
      <c r="C68" s="342"/>
      <c r="D68" s="338"/>
      <c r="E68" s="338"/>
    </row>
    <row r="69" spans="1:5">
      <c r="A69" s="12" t="s">
        <v>444</v>
      </c>
      <c r="B69" s="338"/>
      <c r="C69" s="338"/>
      <c r="D69" s="338"/>
      <c r="E69" s="338"/>
    </row>
    <row r="70" spans="1:5">
      <c r="A70" s="12" t="s">
        <v>445</v>
      </c>
      <c r="B70" s="338"/>
      <c r="C70" s="338"/>
      <c r="D70" s="338"/>
      <c r="E70" s="338"/>
    </row>
    <row r="71" spans="1:5">
      <c r="A71" s="132" t="s">
        <v>0</v>
      </c>
      <c r="B71" s="338"/>
      <c r="C71" s="338"/>
      <c r="D71" s="338"/>
      <c r="E71" s="338"/>
    </row>
    <row r="72" spans="1:5">
      <c r="A72" s="12"/>
    </row>
    <row r="73" spans="1:5" ht="20.25" customHeight="1">
      <c r="A73" s="285" t="s">
        <v>446</v>
      </c>
    </row>
    <row r="74" spans="1:5">
      <c r="A74" s="391" t="s">
        <v>0</v>
      </c>
    </row>
    <row r="75" spans="1:5" ht="15.75">
      <c r="A75" s="151" t="s">
        <v>0</v>
      </c>
    </row>
    <row r="76" spans="1:5" ht="26.25">
      <c r="A76" s="285" t="s">
        <v>393</v>
      </c>
    </row>
    <row r="77" spans="1:5">
      <c r="A77" s="213" t="s">
        <v>447</v>
      </c>
    </row>
  </sheetData>
  <pageMargins left="0.25" right="0.25" top="0.75" bottom="0.75" header="0.3" footer="0.3"/>
  <pageSetup scale="38" orientation="landscape" r:id="rId1"/>
  <rowBreaks count="1" manualBreakCount="1">
    <brk id="53" max="11" man="1"/>
  </rowBreaks>
  <colBreaks count="1" manualBreakCount="1">
    <brk id="11" max="94"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4"/>
  <sheetViews>
    <sheetView view="pageBreakPreview" zoomScale="70" zoomScaleNormal="80" zoomScaleSheetLayoutView="70" zoomScalePageLayoutView="70" workbookViewId="0">
      <pane xSplit="1" topLeftCell="B1" activePane="topRight" state="frozen"/>
      <selection pane="topRight" activeCell="A10" sqref="A10"/>
    </sheetView>
  </sheetViews>
  <sheetFormatPr defaultRowHeight="15"/>
  <cols>
    <col min="1" max="1" width="62.42578125" customWidth="1"/>
    <col min="2" max="2" width="11.5703125" bestFit="1" customWidth="1"/>
    <col min="3" max="3" width="26.28515625" customWidth="1"/>
    <col min="4" max="4" width="30.140625" customWidth="1"/>
    <col min="5" max="5" width="28" customWidth="1"/>
    <col min="6" max="6" width="29.140625" customWidth="1"/>
    <col min="7" max="7" width="34.42578125" customWidth="1"/>
    <col min="8" max="8" width="12.85546875" customWidth="1"/>
    <col min="9" max="9" width="25.85546875" bestFit="1" customWidth="1"/>
    <col min="10" max="10" width="30.140625" bestFit="1" customWidth="1"/>
    <col min="11" max="11" width="9.140625" customWidth="1"/>
  </cols>
  <sheetData>
    <row r="1" spans="1:9" ht="20.25">
      <c r="A1" s="23" t="s">
        <v>1</v>
      </c>
      <c r="B1" s="12"/>
      <c r="C1" s="12"/>
      <c r="D1" s="12"/>
      <c r="E1" s="12"/>
      <c r="F1" s="12"/>
      <c r="G1" s="12"/>
      <c r="H1" s="12"/>
    </row>
    <row r="2" spans="1:9" ht="15.75">
      <c r="A2" s="24" t="s">
        <v>9</v>
      </c>
      <c r="B2" s="12"/>
      <c r="C2" s="12"/>
      <c r="D2" s="12"/>
      <c r="E2" s="12"/>
      <c r="F2" s="12"/>
      <c r="G2" s="12"/>
      <c r="H2" s="12"/>
    </row>
    <row r="3" spans="1:9">
      <c r="A3" s="25" t="s">
        <v>63</v>
      </c>
      <c r="B3" s="12"/>
      <c r="C3" s="12"/>
      <c r="D3" s="12"/>
      <c r="E3" s="12"/>
      <c r="F3" s="12"/>
      <c r="G3" s="12"/>
      <c r="H3" s="12"/>
    </row>
    <row r="4" spans="1:9">
      <c r="A4" s="25"/>
      <c r="B4" s="12"/>
      <c r="C4" s="12"/>
      <c r="D4" s="12"/>
      <c r="E4" s="12"/>
      <c r="F4" s="213" t="s">
        <v>0</v>
      </c>
      <c r="G4" s="12"/>
      <c r="H4" s="12"/>
    </row>
    <row r="5" spans="1:9">
      <c r="B5" s="12"/>
      <c r="C5" s="12"/>
      <c r="D5" s="12"/>
      <c r="E5" s="26"/>
      <c r="F5" s="213" t="s">
        <v>0</v>
      </c>
      <c r="G5" s="12"/>
      <c r="H5" s="12" t="s">
        <v>0</v>
      </c>
    </row>
    <row r="6" spans="1:9">
      <c r="A6" s="85"/>
      <c r="B6" s="34"/>
      <c r="C6" s="34"/>
      <c r="D6" s="34"/>
      <c r="E6" s="34"/>
      <c r="F6" s="34"/>
      <c r="G6" s="14"/>
      <c r="H6" s="84"/>
      <c r="I6" s="3"/>
    </row>
    <row r="7" spans="1:9">
      <c r="A7" s="43"/>
      <c r="B7" s="43"/>
      <c r="C7" s="43"/>
      <c r="D7" s="43"/>
      <c r="E7" s="43"/>
      <c r="F7" s="43"/>
      <c r="G7" s="43"/>
      <c r="H7" s="43"/>
      <c r="I7" s="2"/>
    </row>
    <row r="8" spans="1:9" ht="15.75" thickBot="1">
      <c r="A8" s="43"/>
      <c r="B8" s="43"/>
      <c r="C8" s="43"/>
      <c r="D8" s="86"/>
      <c r="E8" s="28"/>
      <c r="F8" s="86"/>
      <c r="H8" s="43"/>
      <c r="I8" s="2"/>
    </row>
    <row r="9" spans="1:9" ht="21" thickBot="1">
      <c r="A9" s="27" t="str">
        <f>+'S&amp;D'!A12</f>
        <v>Natural Gas Transmission Pipeline Carrier</v>
      </c>
      <c r="B9" s="43"/>
      <c r="C9" s="43"/>
      <c r="D9" s="43"/>
      <c r="E9" s="31" t="s">
        <v>318</v>
      </c>
      <c r="F9" s="43"/>
      <c r="H9" s="12"/>
    </row>
    <row r="10" spans="1:9" ht="18.75" thickBot="1">
      <c r="A10" s="30"/>
      <c r="B10" s="43"/>
      <c r="C10" s="43"/>
      <c r="D10" s="86"/>
      <c r="E10" s="36" t="s">
        <v>77</v>
      </c>
      <c r="F10" s="86"/>
      <c r="H10" s="12"/>
    </row>
    <row r="11" spans="1:9" ht="18">
      <c r="A11" s="30"/>
      <c r="B11" s="43"/>
      <c r="C11" s="43"/>
      <c r="D11" s="43"/>
      <c r="E11" s="34"/>
      <c r="F11" s="43"/>
      <c r="H11" s="12"/>
    </row>
    <row r="12" spans="1:9" ht="18">
      <c r="A12" s="30"/>
      <c r="B12" s="43"/>
      <c r="C12" s="43"/>
      <c r="D12" s="43"/>
      <c r="E12" s="34"/>
      <c r="F12" s="43"/>
      <c r="H12" s="12"/>
    </row>
    <row r="13" spans="1:9">
      <c r="B13" s="43"/>
      <c r="C13" s="43"/>
      <c r="D13" s="43"/>
      <c r="E13" s="34"/>
      <c r="F13" s="43"/>
      <c r="H13" s="12"/>
    </row>
    <row r="14" spans="1:9" ht="18">
      <c r="A14" s="30"/>
      <c r="B14" s="43"/>
      <c r="C14" s="43"/>
      <c r="D14" s="43"/>
      <c r="E14" s="13" t="s">
        <v>0</v>
      </c>
      <c r="F14" s="43"/>
      <c r="H14" s="12"/>
    </row>
    <row r="15" spans="1:9" ht="15.75" thickBot="1">
      <c r="A15" s="41" t="s">
        <v>0</v>
      </c>
      <c r="B15" s="41" t="s">
        <v>0</v>
      </c>
      <c r="C15" s="41" t="s">
        <v>0</v>
      </c>
      <c r="D15" s="41"/>
      <c r="E15" s="41"/>
      <c r="F15" s="41"/>
      <c r="H15" s="12"/>
    </row>
    <row r="16" spans="1:9" ht="15.75">
      <c r="A16" s="267"/>
      <c r="B16" s="268"/>
      <c r="C16" s="269"/>
      <c r="D16" s="252" t="s">
        <v>0</v>
      </c>
      <c r="E16" s="253" t="s">
        <v>0</v>
      </c>
      <c r="F16" s="252" t="s">
        <v>0</v>
      </c>
      <c r="H16" s="12"/>
    </row>
    <row r="17" spans="1:10" ht="15.75">
      <c r="A17" s="87" t="s">
        <v>0</v>
      </c>
      <c r="B17" s="88" t="s">
        <v>3</v>
      </c>
      <c r="C17" s="89" t="s">
        <v>5</v>
      </c>
      <c r="D17" s="90" t="s">
        <v>0</v>
      </c>
      <c r="E17" s="254" t="s">
        <v>0</v>
      </c>
      <c r="F17" s="90" t="s">
        <v>310</v>
      </c>
      <c r="H17" s="12"/>
    </row>
    <row r="18" spans="1:10" ht="15.75">
      <c r="A18" s="87"/>
      <c r="B18" s="88" t="s">
        <v>4</v>
      </c>
      <c r="C18" s="89" t="s">
        <v>6</v>
      </c>
      <c r="D18" s="90" t="s">
        <v>319</v>
      </c>
      <c r="E18" s="254" t="s">
        <v>319</v>
      </c>
      <c r="F18" s="90" t="s">
        <v>133</v>
      </c>
      <c r="H18" s="12"/>
    </row>
    <row r="19" spans="1:10" ht="17.25" thickBot="1">
      <c r="A19" s="94" t="s">
        <v>2</v>
      </c>
      <c r="B19" s="95" t="s">
        <v>0</v>
      </c>
      <c r="C19" s="96" t="s">
        <v>0</v>
      </c>
      <c r="D19" s="308" t="s">
        <v>308</v>
      </c>
      <c r="E19" s="307" t="s">
        <v>61</v>
      </c>
      <c r="F19" s="95" t="s">
        <v>0</v>
      </c>
      <c r="H19" s="12"/>
    </row>
    <row r="20" spans="1:10">
      <c r="A20" s="309" t="s">
        <v>7</v>
      </c>
      <c r="B20" s="287" t="s">
        <v>7</v>
      </c>
      <c r="C20" s="310" t="s">
        <v>7</v>
      </c>
      <c r="D20" s="287" t="s">
        <v>7</v>
      </c>
      <c r="E20" s="116" t="s">
        <v>309</v>
      </c>
      <c r="F20" s="99"/>
      <c r="H20" s="12"/>
    </row>
    <row r="21" spans="1:10" ht="15.75">
      <c r="A21" s="87"/>
      <c r="B21" s="88"/>
      <c r="C21" s="89"/>
      <c r="D21" s="88"/>
      <c r="E21" s="255"/>
      <c r="F21" s="88"/>
      <c r="H21" s="12"/>
    </row>
    <row r="22" spans="1:10" ht="15.75">
      <c r="A22" s="101" t="str">
        <f>+'S&amp;D'!A22</f>
        <v>DCP Midstream LP</v>
      </c>
      <c r="B22" s="79" t="str">
        <f>+'S&amp;D'!B22</f>
        <v>DCP</v>
      </c>
      <c r="C22" s="89" t="str">
        <f>+'S&amp;D'!C22</f>
        <v>Pipeline MLPs</v>
      </c>
      <c r="D22" s="270">
        <f>+'S&amp;D'!D39</f>
        <v>8083702484.8199997</v>
      </c>
      <c r="E22" s="271">
        <f>6011000000</f>
        <v>6011000000</v>
      </c>
      <c r="F22" s="103">
        <f>+D22/E22</f>
        <v>1.3448182473498584</v>
      </c>
      <c r="H22" s="12"/>
    </row>
    <row r="23" spans="1:10" ht="15.75">
      <c r="A23" s="101" t="str">
        <f>+'S&amp;D'!A23</f>
        <v>Enbridge Inc</v>
      </c>
      <c r="B23" s="79" t="str">
        <f>+'S&amp;D'!B23</f>
        <v>ENB.TO</v>
      </c>
      <c r="C23" s="89" t="str">
        <f>+'S&amp;D'!C23</f>
        <v>Oil &amp; Gas Distribution</v>
      </c>
      <c r="D23" s="270">
        <f>+'S&amp;D'!D40</f>
        <v>107163000000</v>
      </c>
      <c r="E23" s="271">
        <f>59887000000*0.7369</f>
        <v>44130730300</v>
      </c>
      <c r="F23" s="103">
        <f t="shared" ref="F23:F29" si="0">+D23/E23</f>
        <v>2.4283078768809769</v>
      </c>
      <c r="H23" s="11" t="s">
        <v>441</v>
      </c>
    </row>
    <row r="24" spans="1:10" ht="15.75">
      <c r="A24" s="101" t="str">
        <f>+'S&amp;D'!A24</f>
        <v>Energy Transfer LP</v>
      </c>
      <c r="B24" s="79" t="str">
        <f>+'S&amp;D'!B24</f>
        <v>ET</v>
      </c>
      <c r="C24" s="89" t="str">
        <f>+'S&amp;D'!C24</f>
        <v>Pipeline MLPs</v>
      </c>
      <c r="D24" s="270">
        <f>+'S&amp;D'!D41</f>
        <v>36731066506.290001</v>
      </c>
      <c r="E24" s="271">
        <v>33025000000</v>
      </c>
      <c r="F24" s="103">
        <f t="shared" si="0"/>
        <v>1.1122200304705527</v>
      </c>
      <c r="H24" s="12"/>
    </row>
    <row r="25" spans="1:10" ht="15.75">
      <c r="A25" s="101" t="str">
        <f>+'S&amp;D'!A25</f>
        <v>Enlink Midstream LLC</v>
      </c>
      <c r="B25" s="79" t="str">
        <f>+'S&amp;D'!B25</f>
        <v>ENLC</v>
      </c>
      <c r="C25" s="89" t="str">
        <f>+'S&amp;D'!C25</f>
        <v>Oil &amp; Gas Distribution</v>
      </c>
      <c r="D25" s="270">
        <f>+'S&amp;D'!D42</f>
        <v>5768461749</v>
      </c>
      <c r="E25" s="271">
        <v>1306400000</v>
      </c>
      <c r="F25" s="103">
        <f t="shared" si="0"/>
        <v>4.4155402242804653</v>
      </c>
      <c r="H25" s="12"/>
    </row>
    <row r="26" spans="1:10" ht="15.75">
      <c r="A26" s="101" t="str">
        <f>+'S&amp;D'!A26</f>
        <v>Enterprise Products Partnership LP</v>
      </c>
      <c r="B26" s="79" t="str">
        <f>+'S&amp;D'!B26</f>
        <v>EPD</v>
      </c>
      <c r="C26" s="89" t="str">
        <f>+'S&amp;D'!C26</f>
        <v>Pipeline MLPs</v>
      </c>
      <c r="D26" s="270">
        <f>+'S&amp;D'!D43</f>
        <v>52359849089.639999</v>
      </c>
      <c r="E26" s="271">
        <v>26623000000</v>
      </c>
      <c r="F26" s="103">
        <f t="shared" si="0"/>
        <v>1.9667148364061149</v>
      </c>
      <c r="H26" s="12"/>
    </row>
    <row r="27" spans="1:10" ht="15.75">
      <c r="A27" s="101" t="str">
        <f>+'S&amp;D'!A27</f>
        <v>Kinder Morgan Inc</v>
      </c>
      <c r="B27" s="79" t="str">
        <f>+'S&amp;D'!B27</f>
        <v>KMI</v>
      </c>
      <c r="C27" s="89" t="str">
        <f>+'S&amp;D'!C27</f>
        <v>Oil &amp; Gas Distribution</v>
      </c>
      <c r="D27" s="270">
        <f>+'S&amp;D'!D44</f>
        <v>40638083798.079994</v>
      </c>
      <c r="E27" s="271">
        <v>30742000000</v>
      </c>
      <c r="F27" s="103">
        <f t="shared" si="0"/>
        <v>1.3219076116739312</v>
      </c>
      <c r="H27" s="12"/>
    </row>
    <row r="28" spans="1:10" ht="15.75">
      <c r="A28" s="101" t="str">
        <f>+'S&amp;D'!A28</f>
        <v>ONEOK Inc</v>
      </c>
      <c r="B28" s="79" t="str">
        <f>+'S&amp;D'!B28</f>
        <v>OKE</v>
      </c>
      <c r="C28" s="89" t="str">
        <f>+'S&amp;D'!C28</f>
        <v>Oil &amp; Gas Distribution</v>
      </c>
      <c r="D28" s="270">
        <f>+'S&amp;D'!D45</f>
        <v>29378265554.700001</v>
      </c>
      <c r="E28" s="271">
        <v>6493885000</v>
      </c>
      <c r="F28" s="103">
        <f t="shared" si="0"/>
        <v>4.5239891920937927</v>
      </c>
      <c r="H28" s="12"/>
    </row>
    <row r="29" spans="1:10" ht="15.75">
      <c r="A29" s="101" t="str">
        <f>+'S&amp;D'!A29</f>
        <v>TC Energy Corp</v>
      </c>
      <c r="B29" s="79" t="str">
        <f>+'S&amp;D'!B29</f>
        <v>TRP</v>
      </c>
      <c r="C29" s="89" t="str">
        <f>+'S&amp;D'!C29</f>
        <v>Oil &amp; Gas Distribution</v>
      </c>
      <c r="D29" s="270">
        <f>+'S&amp;D'!D46</f>
        <v>40577480000</v>
      </c>
      <c r="E29" s="271">
        <f>33990000000*0.7369</f>
        <v>25047231000</v>
      </c>
      <c r="F29" s="103">
        <f t="shared" si="0"/>
        <v>1.6200385583540153</v>
      </c>
      <c r="H29" s="11" t="s">
        <v>441</v>
      </c>
    </row>
    <row r="30" spans="1:10" ht="16.5" thickBot="1">
      <c r="A30" s="314" t="str">
        <f>+'S&amp;D'!A30</f>
        <v>Williams Companys Inc</v>
      </c>
      <c r="B30" s="80" t="str">
        <f>+'S&amp;D'!B30</f>
        <v>WMB</v>
      </c>
      <c r="C30" s="96" t="str">
        <f>+'S&amp;D'!C30</f>
        <v>Oil &amp; Gas Distribution</v>
      </c>
      <c r="D30" s="315">
        <f>+'S&amp;D'!D47</f>
        <v>47211500000</v>
      </c>
      <c r="E30" s="399">
        <v>14045000000</v>
      </c>
      <c r="F30" s="103">
        <f t="shared" ref="F30" si="1">+D30/E30</f>
        <v>3.3614453542185831</v>
      </c>
      <c r="H30" s="12"/>
      <c r="J30" s="10" t="s">
        <v>0</v>
      </c>
    </row>
    <row r="31" spans="1:10" ht="27" customHeight="1" thickBot="1">
      <c r="A31" s="121"/>
      <c r="B31" s="107"/>
      <c r="C31" s="107"/>
      <c r="D31" s="122"/>
      <c r="E31" s="313" t="s">
        <v>317</v>
      </c>
      <c r="F31" s="215">
        <f>AVERAGE(F22:F30)</f>
        <v>2.4549979924142544</v>
      </c>
      <c r="H31" s="12"/>
    </row>
    <row r="32" spans="1:10" ht="15.75">
      <c r="A32" s="105"/>
      <c r="B32" s="105"/>
      <c r="C32" s="105"/>
      <c r="D32" s="105"/>
      <c r="E32" s="264"/>
      <c r="F32" s="266"/>
      <c r="H32" s="12"/>
    </row>
    <row r="33" spans="1:8" ht="15.75">
      <c r="A33" s="105"/>
      <c r="B33" s="105"/>
      <c r="C33" s="105"/>
      <c r="D33" s="105"/>
      <c r="E33" s="264"/>
      <c r="F33" s="266"/>
      <c r="H33" s="12"/>
    </row>
    <row r="34" spans="1:8" ht="15.75">
      <c r="A34" s="105"/>
      <c r="B34" s="105"/>
      <c r="C34" s="105"/>
      <c r="D34" s="105"/>
      <c r="E34" s="264"/>
      <c r="F34" s="266"/>
      <c r="H34" s="12"/>
    </row>
    <row r="35" spans="1:8" ht="16.5" thickBot="1">
      <c r="A35" s="105"/>
      <c r="B35" s="105"/>
      <c r="C35" s="105"/>
      <c r="D35" s="105"/>
      <c r="E35" s="105"/>
      <c r="F35" s="105"/>
      <c r="H35" s="12"/>
    </row>
    <row r="36" spans="1:8" ht="15.75">
      <c r="A36" s="267"/>
      <c r="B36" s="268"/>
      <c r="C36" s="269"/>
      <c r="D36" s="252" t="s">
        <v>0</v>
      </c>
      <c r="E36" s="253" t="s">
        <v>0</v>
      </c>
      <c r="F36" s="252" t="s">
        <v>0</v>
      </c>
      <c r="H36" s="12"/>
    </row>
    <row r="37" spans="1:8" ht="15.75">
      <c r="A37" s="87" t="s">
        <v>0</v>
      </c>
      <c r="B37" s="88" t="s">
        <v>3</v>
      </c>
      <c r="C37" s="89" t="s">
        <v>5</v>
      </c>
      <c r="D37" s="90" t="s">
        <v>0</v>
      </c>
      <c r="E37" s="254" t="s">
        <v>0</v>
      </c>
      <c r="F37" s="90" t="s">
        <v>310</v>
      </c>
      <c r="H37" s="12"/>
    </row>
    <row r="38" spans="1:8" ht="15.75">
      <c r="A38" s="87"/>
      <c r="B38" s="88" t="s">
        <v>4</v>
      </c>
      <c r="C38" s="89" t="s">
        <v>6</v>
      </c>
      <c r="D38" s="90" t="s">
        <v>311</v>
      </c>
      <c r="E38" s="254" t="s">
        <v>311</v>
      </c>
      <c r="F38" s="90" t="s">
        <v>133</v>
      </c>
    </row>
    <row r="39" spans="1:8" ht="17.25" thickBot="1">
      <c r="A39" s="94" t="s">
        <v>2</v>
      </c>
      <c r="B39" s="95" t="s">
        <v>0</v>
      </c>
      <c r="C39" s="96" t="s">
        <v>0</v>
      </c>
      <c r="D39" s="308" t="s">
        <v>308</v>
      </c>
      <c r="E39" s="307" t="s">
        <v>61</v>
      </c>
      <c r="F39" s="95" t="s">
        <v>0</v>
      </c>
    </row>
    <row r="40" spans="1:8">
      <c r="A40" s="309" t="s">
        <v>7</v>
      </c>
      <c r="B40" s="287" t="s">
        <v>7</v>
      </c>
      <c r="C40" s="310" t="s">
        <v>7</v>
      </c>
      <c r="D40" s="287" t="s">
        <v>309</v>
      </c>
      <c r="E40" s="116" t="s">
        <v>309</v>
      </c>
      <c r="F40" s="99"/>
    </row>
    <row r="41" spans="1:8" ht="16.5" thickBot="1">
      <c r="A41" s="87"/>
      <c r="B41" s="88"/>
      <c r="C41" s="89"/>
      <c r="D41" s="88"/>
      <c r="E41" s="394"/>
      <c r="F41" s="394"/>
    </row>
    <row r="42" spans="1:8" ht="15.75">
      <c r="A42" s="392" t="str">
        <f t="shared" ref="A42:C50" si="2">+A22</f>
        <v>DCP Midstream LP</v>
      </c>
      <c r="B42" s="78" t="str">
        <f t="shared" si="2"/>
        <v>DCP</v>
      </c>
      <c r="C42" s="269" t="str">
        <f t="shared" si="2"/>
        <v>Pipeline MLPs</v>
      </c>
      <c r="D42" s="393">
        <f>+'S&amp;D'!G39</f>
        <v>4761230201.066885</v>
      </c>
      <c r="E42" s="271">
        <f>+'S&amp;D'!J22</f>
        <v>4863000000</v>
      </c>
      <c r="F42" s="103">
        <f>+D42/E42</f>
        <v>0.97907263028313485</v>
      </c>
    </row>
    <row r="43" spans="1:8" ht="15.75">
      <c r="A43" s="101" t="str">
        <f t="shared" si="2"/>
        <v>Enbridge Inc</v>
      </c>
      <c r="B43" s="79" t="str">
        <f t="shared" si="2"/>
        <v>ENB.TO</v>
      </c>
      <c r="C43" s="89" t="str">
        <f t="shared" si="2"/>
        <v>Oil &amp; Gas Distribution</v>
      </c>
      <c r="D43" s="270">
        <f>+'S&amp;D'!G40</f>
        <v>53946321003.783104</v>
      </c>
      <c r="E43" s="271">
        <f>+'S&amp;D'!J23</f>
        <v>58203309600</v>
      </c>
      <c r="F43" s="103">
        <f t="shared" ref="F43:F47" si="3">+D43/E43</f>
        <v>0.92686002522068101</v>
      </c>
    </row>
    <row r="44" spans="1:8" ht="15.75">
      <c r="A44" s="101" t="str">
        <f t="shared" si="2"/>
        <v>Energy Transfer LP</v>
      </c>
      <c r="B44" s="79" t="str">
        <f t="shared" si="2"/>
        <v>ET</v>
      </c>
      <c r="C44" s="89" t="str">
        <f t="shared" si="2"/>
        <v>Pipeline MLPs</v>
      </c>
      <c r="D44" s="270">
        <f>+'S&amp;D'!G41</f>
        <v>45421882304.185661</v>
      </c>
      <c r="E44" s="271">
        <f>+'S&amp;D'!J24</f>
        <v>48262000000</v>
      </c>
      <c r="F44" s="103">
        <f t="shared" si="3"/>
        <v>0.9411520928305015</v>
      </c>
    </row>
    <row r="45" spans="1:8" ht="15.75">
      <c r="A45" s="101" t="str">
        <f t="shared" si="2"/>
        <v>Enlink Midstream LLC</v>
      </c>
      <c r="B45" s="79" t="str">
        <f t="shared" si="2"/>
        <v>ENLC</v>
      </c>
      <c r="C45" s="89" t="str">
        <f t="shared" si="2"/>
        <v>Oil &amp; Gas Distribution</v>
      </c>
      <c r="D45" s="270">
        <f>+'S&amp;D'!G42</f>
        <v>4385899999.999999</v>
      </c>
      <c r="E45" s="271">
        <f>+'S&amp;D'!J25</f>
        <v>4723500000</v>
      </c>
      <c r="F45" s="103">
        <f t="shared" si="3"/>
        <v>0.92852757489149973</v>
      </c>
    </row>
    <row r="46" spans="1:8" ht="15.75">
      <c r="A46" s="101" t="str">
        <f t="shared" si="2"/>
        <v>Enterprise Products Partnership LP</v>
      </c>
      <c r="B46" s="79" t="str">
        <f t="shared" si="2"/>
        <v>EPD</v>
      </c>
      <c r="C46" s="89" t="str">
        <f t="shared" si="2"/>
        <v>Pipeline MLPs</v>
      </c>
      <c r="D46" s="270">
        <f>+'S&amp;D'!G43</f>
        <v>24899600000</v>
      </c>
      <c r="E46" s="271">
        <f>+'S&amp;D'!J26</f>
        <v>28295000000</v>
      </c>
      <c r="F46" s="103">
        <f t="shared" si="3"/>
        <v>0.88</v>
      </c>
    </row>
    <row r="47" spans="1:8" ht="15.75">
      <c r="A47" s="101" t="str">
        <f t="shared" si="2"/>
        <v>Kinder Morgan Inc</v>
      </c>
      <c r="B47" s="79" t="str">
        <f t="shared" si="2"/>
        <v>KMI</v>
      </c>
      <c r="C47" s="89" t="str">
        <f t="shared" si="2"/>
        <v>Oil &amp; Gas Distribution</v>
      </c>
      <c r="D47" s="270">
        <f>+'S&amp;D'!G44</f>
        <v>29944137637.415009</v>
      </c>
      <c r="E47" s="271">
        <f>+'S&amp;D'!J27</f>
        <v>31673000000</v>
      </c>
      <c r="F47" s="103">
        <f t="shared" si="3"/>
        <v>0.9454152633920061</v>
      </c>
    </row>
    <row r="48" spans="1:8" ht="15.75">
      <c r="A48" s="101" t="str">
        <f t="shared" si="2"/>
        <v>ONEOK Inc</v>
      </c>
      <c r="B48" s="79" t="str">
        <f t="shared" si="2"/>
        <v>OKE</v>
      </c>
      <c r="C48" s="89" t="str">
        <f t="shared" si="2"/>
        <v>Oil &amp; Gas Distribution</v>
      </c>
      <c r="D48" s="270">
        <f>+'S&amp;D'!G45</f>
        <v>12719455279.411764</v>
      </c>
      <c r="E48" s="271">
        <f>+'S&amp;D'!J28</f>
        <v>13620834000</v>
      </c>
      <c r="F48" s="103">
        <f>+D48/E48</f>
        <v>0.93382352941176472</v>
      </c>
    </row>
    <row r="49" spans="1:6" ht="15.75">
      <c r="A49" s="101" t="str">
        <f t="shared" si="2"/>
        <v>TC Energy Corp</v>
      </c>
      <c r="B49" s="79" t="str">
        <f t="shared" si="2"/>
        <v>TRP</v>
      </c>
      <c r="C49" s="89" t="str">
        <f t="shared" si="2"/>
        <v>Oil &amp; Gas Distribution</v>
      </c>
      <c r="D49" s="270">
        <f>+'S&amp;D'!G46</f>
        <v>34017224129.15694</v>
      </c>
      <c r="E49" s="271">
        <f>+'S&amp;D'!J29</f>
        <v>30613036700</v>
      </c>
      <c r="F49" s="103">
        <f t="shared" ref="F49" si="4">+D49/E49</f>
        <v>1.1112005797568243</v>
      </c>
    </row>
    <row r="50" spans="1:6" ht="16.5" thickBot="1">
      <c r="A50" s="314" t="str">
        <f t="shared" si="2"/>
        <v>Williams Companys Inc</v>
      </c>
      <c r="B50" s="80" t="str">
        <f t="shared" si="2"/>
        <v>WMB</v>
      </c>
      <c r="C50" s="96" t="str">
        <f t="shared" si="2"/>
        <v>Oil &amp; Gas Distribution</v>
      </c>
      <c r="D50" s="315">
        <f>+'S&amp;D'!G47</f>
        <v>26453198394.931362</v>
      </c>
      <c r="E50" s="271">
        <f>+'S&amp;D'!J30</f>
        <v>22554000000</v>
      </c>
      <c r="F50" s="103">
        <f t="shared" ref="F50" si="5">+D50/E50</f>
        <v>1.1728827877507919</v>
      </c>
    </row>
    <row r="51" spans="1:6" ht="27.75" customHeight="1" thickBot="1">
      <c r="A51" s="311"/>
      <c r="B51" s="157"/>
      <c r="C51" s="157"/>
      <c r="D51" s="312"/>
      <c r="E51" s="313" t="s">
        <v>317</v>
      </c>
      <c r="F51" s="215">
        <f>AVERAGE(F42:F50)</f>
        <v>0.97988160928191148</v>
      </c>
    </row>
    <row r="56" spans="1:6">
      <c r="C56" s="256" t="s">
        <v>312</v>
      </c>
      <c r="D56" s="256" t="s">
        <v>313</v>
      </c>
      <c r="E56" s="256"/>
    </row>
    <row r="57" spans="1:6">
      <c r="A57" s="258"/>
      <c r="B57" s="258"/>
      <c r="C57" s="257" t="s">
        <v>36</v>
      </c>
      <c r="D57" s="257" t="s">
        <v>314</v>
      </c>
      <c r="E57" s="257" t="s">
        <v>315</v>
      </c>
    </row>
    <row r="58" spans="1:6" ht="15.75">
      <c r="A58" s="89" t="s">
        <v>40</v>
      </c>
      <c r="B58" s="144" t="s">
        <v>0</v>
      </c>
      <c r="C58" s="144">
        <f>+'Yield CapRate'!C23</f>
        <v>0.59</v>
      </c>
      <c r="D58" s="262">
        <f>+F31</f>
        <v>2.4549979924142544</v>
      </c>
      <c r="E58" s="263">
        <f>+C58*D58</f>
        <v>1.44844881552441</v>
      </c>
      <c r="F58" s="145" t="s">
        <v>0</v>
      </c>
    </row>
    <row r="59" spans="1:6" ht="15.75">
      <c r="A59" s="259" t="s">
        <v>42</v>
      </c>
      <c r="B59" s="260" t="str">
        <f>'S&amp;D'!I36</f>
        <v xml:space="preserve"> </v>
      </c>
      <c r="C59" s="260">
        <f>+'Yield CapRate'!C25</f>
        <v>0.41</v>
      </c>
      <c r="D59" s="261">
        <f>+F51</f>
        <v>0.97988160928191148</v>
      </c>
      <c r="E59" s="261">
        <f>+C59*D59</f>
        <v>0.40175145980558369</v>
      </c>
      <c r="F59" s="145" t="s">
        <v>0</v>
      </c>
    </row>
    <row r="60" spans="1:6">
      <c r="D60" s="264" t="s">
        <v>316</v>
      </c>
      <c r="E60" s="265">
        <f>+E58+E59</f>
        <v>1.8502002753299935</v>
      </c>
    </row>
    <row r="63" spans="1:6" ht="18">
      <c r="A63" s="30" t="s">
        <v>464</v>
      </c>
    </row>
    <row r="64" spans="1:6" ht="19.5" customHeight="1">
      <c r="A64" s="30" t="s">
        <v>404</v>
      </c>
    </row>
  </sheetData>
  <pageMargins left="0.25" right="0.25" top="0.75" bottom="0.75" header="0.3" footer="0.3"/>
  <pageSetup scale="49" orientation="landscape" r:id="rId1"/>
  <rowBreaks count="1" manualBreakCount="1">
    <brk id="35"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M77"/>
  <sheetViews>
    <sheetView view="pageBreakPreview" zoomScale="70" zoomScaleNormal="80" zoomScaleSheetLayoutView="70" workbookViewId="0">
      <selection activeCell="H32" sqref="H32"/>
    </sheetView>
  </sheetViews>
  <sheetFormatPr defaultRowHeight="15"/>
  <cols>
    <col min="1" max="1" width="41" customWidth="1"/>
    <col min="2" max="2" width="10.85546875" bestFit="1" customWidth="1"/>
    <col min="3" max="3" width="10.7109375" customWidth="1"/>
    <col min="4" max="4" width="28.570312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0.25">
      <c r="A1" s="23" t="s">
        <v>1</v>
      </c>
      <c r="B1" s="12"/>
      <c r="C1" s="12"/>
      <c r="D1" s="12"/>
      <c r="E1" s="12"/>
      <c r="F1" s="12"/>
      <c r="G1" s="12"/>
      <c r="H1" s="12"/>
      <c r="I1" s="12"/>
      <c r="J1" s="12"/>
      <c r="K1" s="12"/>
      <c r="L1" s="12"/>
    </row>
    <row r="2" spans="1:12" ht="15.75">
      <c r="A2" s="24" t="s">
        <v>9</v>
      </c>
      <c r="B2" s="12"/>
      <c r="C2" s="12"/>
      <c r="D2" s="12"/>
      <c r="E2" s="12"/>
      <c r="F2" s="12"/>
      <c r="G2" s="12"/>
      <c r="H2" s="12"/>
      <c r="I2" s="12"/>
      <c r="J2" s="12"/>
      <c r="K2" s="12"/>
      <c r="L2" s="12"/>
    </row>
    <row r="3" spans="1:12">
      <c r="A3" s="25" t="s">
        <v>63</v>
      </c>
      <c r="B3" s="12"/>
      <c r="C3" s="12"/>
      <c r="D3" s="12"/>
      <c r="E3" s="12"/>
      <c r="F3" s="12"/>
      <c r="G3" s="12"/>
      <c r="H3" s="12"/>
      <c r="I3" s="12"/>
      <c r="J3" s="12"/>
      <c r="K3" s="12"/>
      <c r="L3" s="12"/>
    </row>
    <row r="4" spans="1:12">
      <c r="A4" s="25"/>
      <c r="B4" s="12"/>
      <c r="C4" s="12"/>
      <c r="D4" s="12"/>
      <c r="E4" s="12"/>
      <c r="F4" s="12"/>
      <c r="G4" s="12"/>
      <c r="H4" s="12"/>
      <c r="I4" s="12"/>
      <c r="J4" s="12"/>
      <c r="K4" s="12"/>
      <c r="L4" s="12"/>
    </row>
    <row r="5" spans="1:12">
      <c r="A5" s="25"/>
      <c r="B5" s="12"/>
      <c r="C5" s="12"/>
      <c r="D5" s="12"/>
      <c r="E5" s="12"/>
      <c r="F5" s="12"/>
      <c r="G5" s="12"/>
      <c r="H5" s="12"/>
      <c r="I5" s="12"/>
      <c r="J5" s="12"/>
      <c r="K5" s="12"/>
      <c r="L5" s="12"/>
    </row>
    <row r="6" spans="1:12">
      <c r="A6" s="25"/>
      <c r="B6" s="12"/>
      <c r="C6" s="12"/>
      <c r="D6" s="12"/>
      <c r="E6" s="12"/>
      <c r="F6" s="12"/>
      <c r="G6" s="12"/>
      <c r="H6" s="12"/>
      <c r="I6" s="12"/>
      <c r="J6" s="12"/>
      <c r="K6" s="12"/>
      <c r="L6" s="12"/>
    </row>
    <row r="7" spans="1:12" ht="15.75" thickBot="1">
      <c r="A7" s="12"/>
      <c r="B7" s="12"/>
      <c r="C7" s="12"/>
      <c r="D7" s="12"/>
      <c r="E7" s="12"/>
      <c r="F7" s="28"/>
      <c r="G7" s="28"/>
      <c r="H7" s="29" t="s">
        <v>0</v>
      </c>
      <c r="I7" s="12"/>
      <c r="J7" s="12"/>
      <c r="K7" s="12"/>
      <c r="L7" s="12"/>
    </row>
    <row r="8" spans="1:12" ht="21" thickBot="1">
      <c r="A8" s="278" t="str">
        <f>+'S&amp;D'!A12</f>
        <v>Natural Gas Transmission Pipeline Carrier</v>
      </c>
      <c r="B8" s="279"/>
      <c r="C8" s="205"/>
      <c r="D8" s="12"/>
      <c r="E8" s="12"/>
      <c r="F8" s="12"/>
      <c r="G8" s="31" t="s">
        <v>79</v>
      </c>
      <c r="H8" s="12"/>
      <c r="I8" s="12"/>
      <c r="J8" s="12"/>
      <c r="K8" s="12"/>
      <c r="L8" s="12"/>
    </row>
    <row r="9" spans="1:12" ht="18">
      <c r="A9" s="30"/>
      <c r="B9" s="12"/>
      <c r="C9" s="12"/>
      <c r="D9" s="12"/>
      <c r="E9" s="12"/>
      <c r="F9" s="12"/>
      <c r="G9" s="89" t="s">
        <v>80</v>
      </c>
      <c r="H9" s="12"/>
      <c r="I9" s="12"/>
      <c r="J9" s="12"/>
      <c r="K9" s="12"/>
      <c r="L9" s="12"/>
    </row>
    <row r="10" spans="1:12" ht="18" customHeight="1" thickBot="1">
      <c r="A10" s="40" t="s">
        <v>0</v>
      </c>
      <c r="B10" s="40" t="s">
        <v>0</v>
      </c>
      <c r="C10" s="40" t="s">
        <v>0</v>
      </c>
      <c r="D10" s="12"/>
      <c r="E10" s="12"/>
      <c r="F10" s="33" t="s">
        <v>0</v>
      </c>
      <c r="G10" s="36" t="s">
        <v>77</v>
      </c>
      <c r="H10" s="33" t="s">
        <v>0</v>
      </c>
      <c r="I10" s="40" t="s">
        <v>0</v>
      </c>
      <c r="J10" s="12"/>
      <c r="K10" s="12"/>
      <c r="L10" s="12"/>
    </row>
    <row r="11" spans="1:12" ht="18" customHeight="1">
      <c r="A11" s="40"/>
      <c r="B11" s="40"/>
      <c r="C11" s="40"/>
      <c r="D11" s="12"/>
      <c r="E11" s="12"/>
      <c r="J11" s="12"/>
      <c r="K11" s="12"/>
      <c r="L11" s="12"/>
    </row>
    <row r="12" spans="1:12" ht="18" customHeight="1">
      <c r="A12" s="40"/>
      <c r="B12" s="40"/>
      <c r="C12" s="40"/>
      <c r="D12" s="12" t="s">
        <v>0</v>
      </c>
      <c r="E12" s="12" t="s">
        <v>0</v>
      </c>
      <c r="G12" s="13" t="s">
        <v>0</v>
      </c>
      <c r="J12" s="12"/>
      <c r="K12" s="12"/>
      <c r="L12" s="12" t="s">
        <v>0</v>
      </c>
    </row>
    <row r="13" spans="1:12" ht="15.75" thickBot="1">
      <c r="A13" s="33"/>
      <c r="B13" s="33"/>
      <c r="C13" s="33"/>
      <c r="D13" s="33"/>
      <c r="E13" s="36"/>
      <c r="F13" s="33"/>
      <c r="G13" s="33"/>
      <c r="H13" s="33"/>
      <c r="I13" s="33"/>
      <c r="J13" s="28"/>
      <c r="K13" s="28"/>
      <c r="L13" s="28"/>
    </row>
    <row r="14" spans="1:12" ht="15" customHeight="1" thickBot="1">
      <c r="A14" s="33" t="s">
        <v>24</v>
      </c>
      <c r="B14" s="33" t="s">
        <v>92</v>
      </c>
      <c r="C14" s="33" t="s">
        <v>93</v>
      </c>
      <c r="D14" s="41" t="s">
        <v>94</v>
      </c>
      <c r="E14" s="33" t="s">
        <v>95</v>
      </c>
      <c r="F14" s="33" t="s">
        <v>96</v>
      </c>
      <c r="G14" s="33" t="s">
        <v>97</v>
      </c>
      <c r="H14" s="33" t="s">
        <v>98</v>
      </c>
      <c r="I14" s="33" t="s">
        <v>99</v>
      </c>
      <c r="J14" s="33" t="s">
        <v>100</v>
      </c>
      <c r="K14" s="33" t="s">
        <v>101</v>
      </c>
      <c r="L14" s="33" t="s">
        <v>109</v>
      </c>
    </row>
    <row r="15" spans="1:12">
      <c r="A15" s="34" t="s">
        <v>0</v>
      </c>
      <c r="B15" s="34" t="s">
        <v>3</v>
      </c>
      <c r="C15" s="34" t="s">
        <v>81</v>
      </c>
      <c r="D15" s="34" t="s">
        <v>84</v>
      </c>
      <c r="E15" s="34" t="s">
        <v>84</v>
      </c>
      <c r="F15" s="34" t="s">
        <v>85</v>
      </c>
      <c r="G15" s="34" t="s">
        <v>88</v>
      </c>
      <c r="H15" s="34" t="s">
        <v>90</v>
      </c>
      <c r="I15" s="34" t="s">
        <v>112</v>
      </c>
      <c r="J15" s="34" t="s">
        <v>112</v>
      </c>
      <c r="K15" s="34" t="s">
        <v>105</v>
      </c>
      <c r="L15" s="34" t="s">
        <v>107</v>
      </c>
    </row>
    <row r="16" spans="1:12" ht="15.75" thickBot="1">
      <c r="A16" s="36" t="s">
        <v>2</v>
      </c>
      <c r="B16" s="36" t="s">
        <v>4</v>
      </c>
      <c r="C16" s="36" t="s">
        <v>82</v>
      </c>
      <c r="D16" s="36" t="s">
        <v>87</v>
      </c>
      <c r="E16" s="36" t="s">
        <v>86</v>
      </c>
      <c r="F16" s="36" t="s">
        <v>19</v>
      </c>
      <c r="G16" s="36" t="s">
        <v>89</v>
      </c>
      <c r="H16" s="36" t="s">
        <v>91</v>
      </c>
      <c r="I16" s="36" t="s">
        <v>0</v>
      </c>
      <c r="J16" s="36" t="s">
        <v>0</v>
      </c>
      <c r="K16" s="36" t="s">
        <v>106</v>
      </c>
      <c r="L16" s="36" t="s">
        <v>88</v>
      </c>
    </row>
    <row r="17" spans="1:13">
      <c r="A17" s="42" t="s">
        <v>7</v>
      </c>
      <c r="B17" s="42" t="s">
        <v>7</v>
      </c>
      <c r="C17" s="42" t="s">
        <v>83</v>
      </c>
      <c r="D17" s="42" t="s">
        <v>253</v>
      </c>
      <c r="E17" s="42" t="s">
        <v>253</v>
      </c>
      <c r="F17" s="42" t="s">
        <v>110</v>
      </c>
      <c r="G17" s="42" t="s">
        <v>252</v>
      </c>
      <c r="H17" s="42" t="s">
        <v>102</v>
      </c>
      <c r="I17" s="42" t="s">
        <v>103</v>
      </c>
      <c r="J17" s="42" t="s">
        <v>104</v>
      </c>
      <c r="K17" s="42" t="s">
        <v>111</v>
      </c>
      <c r="L17" s="42" t="s">
        <v>108</v>
      </c>
    </row>
    <row r="18" spans="1:13">
      <c r="A18" s="34"/>
      <c r="B18" s="34"/>
      <c r="C18" s="34"/>
      <c r="D18" s="34"/>
      <c r="E18" s="34"/>
      <c r="F18" s="34"/>
      <c r="G18" s="34"/>
      <c r="H18" s="34"/>
      <c r="I18" s="34"/>
      <c r="J18" s="34"/>
      <c r="K18" s="34"/>
      <c r="L18" s="34"/>
    </row>
    <row r="19" spans="1:13">
      <c r="A19" s="12"/>
      <c r="B19" s="12"/>
      <c r="C19" s="12"/>
      <c r="D19" s="12"/>
      <c r="E19" s="12"/>
      <c r="F19" s="12"/>
      <c r="G19" s="12"/>
      <c r="H19" s="12"/>
      <c r="I19" s="12"/>
      <c r="J19" s="12"/>
      <c r="K19" s="12"/>
      <c r="L19" s="12"/>
    </row>
    <row r="20" spans="1:13" ht="22.5" customHeight="1">
      <c r="A20" s="62" t="str">
        <f>+'S&amp;D'!A22</f>
        <v>DCP Midstream LP</v>
      </c>
      <c r="B20" s="89" t="str">
        <f>+'S&amp;D'!B22</f>
        <v>DCP</v>
      </c>
      <c r="C20" s="65">
        <f>+'Growth &amp; Inflation Rates'!D93</f>
        <v>2.366E-2</v>
      </c>
      <c r="D20" s="452">
        <v>13781000000</v>
      </c>
      <c r="E20" s="140">
        <v>13418000000</v>
      </c>
      <c r="F20" s="140">
        <f>(D20+E20)/2</f>
        <v>13599500000</v>
      </c>
      <c r="G20" s="140">
        <v>360000000</v>
      </c>
      <c r="H20" s="18">
        <f>+F20/G20</f>
        <v>37.776388888888889</v>
      </c>
      <c r="I20" s="44">
        <f>+C20*H20</f>
        <v>0.89378936111111107</v>
      </c>
      <c r="J20" s="45">
        <f>1/(1+C20)^H20</f>
        <v>0.41338343272906231</v>
      </c>
      <c r="K20" s="141">
        <f>(G20*I20)/(1-J20)</f>
        <v>548508494.22291946</v>
      </c>
      <c r="L20" s="142">
        <f>+K20/G20</f>
        <v>1.5236347061747764</v>
      </c>
    </row>
    <row r="21" spans="1:13" ht="22.5" customHeight="1">
      <c r="A21" s="62" t="str">
        <f>+'S&amp;D'!A23</f>
        <v>Enbridge Inc</v>
      </c>
      <c r="B21" s="89" t="str">
        <f>+'S&amp;D'!B23</f>
        <v>ENB.TO</v>
      </c>
      <c r="C21" s="65">
        <f>+'Growth &amp; Inflation Rates'!D93</f>
        <v>2.366E-2</v>
      </c>
      <c r="D21" s="452">
        <f>134000000000*0.7369</f>
        <v>98744600000</v>
      </c>
      <c r="E21" s="140">
        <f>126040000000*0.7369</f>
        <v>92878876000</v>
      </c>
      <c r="F21" s="140">
        <f t="shared" ref="F21:F25" si="0">(D21+E21)/2</f>
        <v>95811738000</v>
      </c>
      <c r="G21" s="140">
        <f>4317000000*0.7369</f>
        <v>3181197300</v>
      </c>
      <c r="H21" s="18">
        <f t="shared" ref="H21:H25" si="1">+F21/G21</f>
        <v>30.118137595552469</v>
      </c>
      <c r="I21" s="44">
        <f t="shared" ref="I21:I25" si="2">+C21*H21</f>
        <v>0.71259513551077147</v>
      </c>
      <c r="J21" s="45">
        <f t="shared" ref="J21:J25" si="3">1/(1+C21)^H21</f>
        <v>0.49445665373066394</v>
      </c>
      <c r="K21" s="141">
        <f t="shared" ref="K21:K25" si="4">(G21*I21)/(1-J21)</f>
        <v>4484097630.4181662</v>
      </c>
      <c r="L21" s="142">
        <f t="shared" ref="L21:L25" si="5">+K21/G21</f>
        <v>1.4095628807487566</v>
      </c>
      <c r="M21" s="390" t="s">
        <v>441</v>
      </c>
    </row>
    <row r="22" spans="1:13" ht="22.5" customHeight="1">
      <c r="A22" s="62" t="str">
        <f>+'S&amp;D'!A24</f>
        <v>Energy Transfer LP</v>
      </c>
      <c r="B22" s="89" t="str">
        <f>+'S&amp;D'!B24</f>
        <v>ET</v>
      </c>
      <c r="C22" s="65">
        <f>+'Growth &amp; Inflation Rates'!D93</f>
        <v>2.366E-2</v>
      </c>
      <c r="D22" s="452">
        <v>105996000000</v>
      </c>
      <c r="E22" s="140">
        <v>103991000000</v>
      </c>
      <c r="F22" s="140">
        <f t="shared" si="0"/>
        <v>104993500000</v>
      </c>
      <c r="G22" s="140">
        <v>4164000000</v>
      </c>
      <c r="H22" s="18">
        <f t="shared" si="1"/>
        <v>25.214577329490876</v>
      </c>
      <c r="I22" s="44">
        <f t="shared" si="2"/>
        <v>0.59657689961575411</v>
      </c>
      <c r="J22" s="45">
        <f t="shared" si="3"/>
        <v>0.55453310221847885</v>
      </c>
      <c r="K22" s="141">
        <f t="shared" si="4"/>
        <v>5576500122.3914671</v>
      </c>
      <c r="L22" s="142">
        <f t="shared" si="5"/>
        <v>1.3392171283360872</v>
      </c>
    </row>
    <row r="23" spans="1:13" ht="22.5" customHeight="1">
      <c r="A23" s="62" t="str">
        <f>+'S&amp;D'!A25</f>
        <v>Enlink Midstream LLC</v>
      </c>
      <c r="B23" s="89" t="str">
        <f>+'S&amp;D'!B25</f>
        <v>ENLC</v>
      </c>
      <c r="C23" s="65">
        <f>+'Growth &amp; Inflation Rates'!D93</f>
        <v>2.366E-2</v>
      </c>
      <c r="D23" s="452">
        <v>11330500000</v>
      </c>
      <c r="E23" s="140">
        <v>10720300000</v>
      </c>
      <c r="F23" s="140">
        <f t="shared" si="0"/>
        <v>11025400000</v>
      </c>
      <c r="G23" s="140">
        <v>639400000</v>
      </c>
      <c r="H23" s="18">
        <f t="shared" si="1"/>
        <v>17.243353143572097</v>
      </c>
      <c r="I23" s="44">
        <f t="shared" si="2"/>
        <v>0.40797773537691584</v>
      </c>
      <c r="J23" s="45">
        <f t="shared" si="3"/>
        <v>0.6681609702827126</v>
      </c>
      <c r="K23" s="141">
        <f t="shared" si="4"/>
        <v>786106939.32610142</v>
      </c>
      <c r="L23" s="142">
        <f t="shared" si="5"/>
        <v>1.2294446971005653</v>
      </c>
    </row>
    <row r="24" spans="1:13" ht="22.5" customHeight="1">
      <c r="A24" s="62" t="str">
        <f>+'S&amp;D'!A26</f>
        <v>Enterprise Products Partnership LP</v>
      </c>
      <c r="B24" s="89" t="str">
        <f>+'S&amp;D'!B26</f>
        <v>EPD</v>
      </c>
      <c r="C24" s="65">
        <f>+'Growth &amp; Inflation Rates'!D93</f>
        <v>2.366E-2</v>
      </c>
      <c r="D24" s="452">
        <v>63122000000</v>
      </c>
      <c r="E24" s="140">
        <v>59085000000</v>
      </c>
      <c r="F24" s="140">
        <f t="shared" si="0"/>
        <v>61103500000</v>
      </c>
      <c r="G24" s="140">
        <v>2158000000</v>
      </c>
      <c r="H24" s="18">
        <f t="shared" si="1"/>
        <v>28.314874884151994</v>
      </c>
      <c r="I24" s="44">
        <f t="shared" si="2"/>
        <v>0.66992993975903614</v>
      </c>
      <c r="J24" s="45">
        <f t="shared" si="3"/>
        <v>0.51575290244540795</v>
      </c>
      <c r="K24" s="141">
        <f t="shared" si="4"/>
        <v>2985477491.3483434</v>
      </c>
      <c r="L24" s="142">
        <f t="shared" si="5"/>
        <v>1.3834464742114658</v>
      </c>
    </row>
    <row r="25" spans="1:13" ht="22.5" customHeight="1">
      <c r="A25" s="62" t="str">
        <f>+'S&amp;D'!A27</f>
        <v>Kinder Morgan Inc</v>
      </c>
      <c r="B25" s="89" t="str">
        <f>+'S&amp;D'!B27</f>
        <v>KMI</v>
      </c>
      <c r="C25" s="65">
        <f>+'Growth &amp; Inflation Rates'!D93</f>
        <v>2.366E-2</v>
      </c>
      <c r="D25" s="452">
        <f>(35599+10529)*1000000</f>
        <v>46128000000</v>
      </c>
      <c r="E25" s="140">
        <f>(35653+9359)*1000000</f>
        <v>45012000000</v>
      </c>
      <c r="F25" s="140">
        <f t="shared" si="0"/>
        <v>45570000000</v>
      </c>
      <c r="G25" s="140">
        <v>2186000000</v>
      </c>
      <c r="H25" s="18">
        <f t="shared" si="1"/>
        <v>20.846294602012808</v>
      </c>
      <c r="I25" s="44">
        <f t="shared" si="2"/>
        <v>0.49322333028362303</v>
      </c>
      <c r="J25" s="45">
        <f t="shared" si="3"/>
        <v>0.614172816589032</v>
      </c>
      <c r="K25" s="141">
        <f t="shared" si="4"/>
        <v>2794479617.7089429</v>
      </c>
      <c r="L25" s="142">
        <f t="shared" si="5"/>
        <v>1.2783529815685923</v>
      </c>
    </row>
    <row r="26" spans="1:13" ht="22.5" customHeight="1">
      <c r="A26" s="62" t="str">
        <f>+'S&amp;D'!A28</f>
        <v>ONEOK Inc</v>
      </c>
      <c r="B26" s="89" t="str">
        <f>+'S&amp;D'!B28</f>
        <v>OKE</v>
      </c>
      <c r="C26" s="65">
        <f>+'Growth &amp; Inflation Rates'!D93</f>
        <v>2.366E-2</v>
      </c>
      <c r="D26" s="452">
        <v>25015135000</v>
      </c>
      <c r="E26" s="140">
        <v>23820539000</v>
      </c>
      <c r="F26" s="140">
        <f t="shared" ref="F26:F28" si="6">(D26+E26)/2</f>
        <v>24417837000</v>
      </c>
      <c r="G26" s="140">
        <v>626132000</v>
      </c>
      <c r="H26" s="18">
        <f>+F26/G26</f>
        <v>38.997906192304498</v>
      </c>
      <c r="I26" s="44">
        <f>+C26*H26</f>
        <v>0.92269046050992443</v>
      </c>
      <c r="J26" s="45">
        <f>1/(1+C26)^H26</f>
        <v>0.4017423940641548</v>
      </c>
      <c r="K26" s="141">
        <f>(G26*I26)/(1-J26)</f>
        <v>965681033.86879969</v>
      </c>
      <c r="L26" s="142">
        <f>+K26/G26</f>
        <v>1.5422962472271018</v>
      </c>
    </row>
    <row r="27" spans="1:13" ht="22.5" customHeight="1">
      <c r="A27" s="62" t="str">
        <f>+'S&amp;D'!A29</f>
        <v>TC Energy Corp</v>
      </c>
      <c r="B27" s="89" t="str">
        <f>+'S&amp;D'!B29</f>
        <v>TRP</v>
      </c>
      <c r="C27" s="65">
        <f>+'Growth &amp; Inflation Rates'!D93</f>
        <v>2.366E-2</v>
      </c>
      <c r="D27" s="452">
        <f>110569000000*0.7369</f>
        <v>81478296100</v>
      </c>
      <c r="E27" s="140">
        <f>102112000000*0.7369</f>
        <v>75246332800</v>
      </c>
      <c r="F27" s="140">
        <f t="shared" si="6"/>
        <v>78362314450</v>
      </c>
      <c r="G27" s="140">
        <f>2584000000*0.7369</f>
        <v>1904149600</v>
      </c>
      <c r="H27" s="18">
        <f>+F27/G27</f>
        <v>41.153444272445817</v>
      </c>
      <c r="I27" s="44">
        <f>+C27*H27</f>
        <v>0.97369049148606801</v>
      </c>
      <c r="J27" s="45">
        <f>1/(1+C27)^H27</f>
        <v>0.3819940455890608</v>
      </c>
      <c r="K27" s="141">
        <f>(G27*I27)/(1-J27)</f>
        <v>3000055819.2909565</v>
      </c>
      <c r="L27" s="142">
        <f>+K27/G27</f>
        <v>1.5755357768585811</v>
      </c>
      <c r="M27" s="390" t="s">
        <v>441</v>
      </c>
    </row>
    <row r="28" spans="1:13" ht="22.5" customHeight="1">
      <c r="A28" s="62" t="str">
        <f>+'S&amp;D'!A30</f>
        <v>Williams Companys Inc</v>
      </c>
      <c r="B28" s="89" t="str">
        <f>+'S&amp;D'!B30</f>
        <v>WMB</v>
      </c>
      <c r="C28" s="65">
        <f>+'Growth &amp; Inflation Rates'!D93</f>
        <v>2.366E-2</v>
      </c>
      <c r="D28" s="452">
        <v>47057000000</v>
      </c>
      <c r="E28" s="140">
        <v>44184000000</v>
      </c>
      <c r="F28" s="140">
        <f t="shared" si="6"/>
        <v>45620500000</v>
      </c>
      <c r="G28" s="140">
        <v>2009000000</v>
      </c>
      <c r="H28" s="18">
        <f t="shared" ref="H28" si="7">+F28/G28</f>
        <v>22.708063713290194</v>
      </c>
      <c r="I28" s="44">
        <f t="shared" ref="I28" si="8">+C28*H28</f>
        <v>0.53727278745644602</v>
      </c>
      <c r="J28" s="45">
        <f t="shared" ref="J28" si="9">1/(1+C28)^H28</f>
        <v>0.58800762780827753</v>
      </c>
      <c r="K28" s="141">
        <f t="shared" ref="K28" si="10">(G28*I28)/(1-J28)</f>
        <v>2619905374.1162596</v>
      </c>
      <c r="L28" s="142">
        <f t="shared" ref="L28" si="11">+K28/G28</f>
        <v>1.3040843076735986</v>
      </c>
    </row>
    <row r="29" spans="1:13" ht="22.5" customHeight="1" thickBot="1">
      <c r="A29" s="69"/>
      <c r="B29" s="69"/>
      <c r="C29" s="46"/>
      <c r="D29" s="46"/>
      <c r="E29" s="46"/>
      <c r="F29" s="46"/>
      <c r="G29" s="46" t="s">
        <v>0</v>
      </c>
      <c r="H29" s="46"/>
      <c r="I29" s="46" t="s">
        <v>45</v>
      </c>
      <c r="J29" s="46"/>
      <c r="K29" s="46"/>
      <c r="L29" s="46"/>
    </row>
    <row r="30" spans="1:13" ht="22.5" customHeight="1" thickTop="1">
      <c r="A30" s="12"/>
      <c r="B30" s="12"/>
      <c r="C30" s="47" t="s">
        <v>0</v>
      </c>
      <c r="D30" s="47" t="s">
        <v>0</v>
      </c>
      <c r="E30" s="34" t="s">
        <v>0</v>
      </c>
      <c r="F30" s="34"/>
      <c r="G30" s="47" t="s">
        <v>0</v>
      </c>
      <c r="H30" s="34"/>
      <c r="I30" s="47" t="s">
        <v>0</v>
      </c>
      <c r="J30" s="47" t="s">
        <v>0</v>
      </c>
      <c r="K30" s="14" t="s">
        <v>46</v>
      </c>
      <c r="L30" s="326">
        <v>1.5754999999999999</v>
      </c>
    </row>
    <row r="31" spans="1:13" ht="22.5" customHeight="1">
      <c r="B31" s="12"/>
      <c r="C31" s="47"/>
      <c r="D31" s="47"/>
      <c r="E31" s="34"/>
      <c r="F31" s="34"/>
      <c r="G31" s="47"/>
      <c r="H31" s="34"/>
      <c r="I31" s="47"/>
      <c r="J31" s="47"/>
      <c r="K31" s="355" t="s">
        <v>47</v>
      </c>
      <c r="L31" s="352">
        <v>1.2294</v>
      </c>
    </row>
    <row r="32" spans="1:13" ht="22.5" customHeight="1">
      <c r="B32" s="12"/>
      <c r="C32" s="12"/>
      <c r="D32" s="12"/>
      <c r="E32" s="12"/>
      <c r="F32" s="12"/>
      <c r="G32" s="12"/>
      <c r="H32" s="12"/>
      <c r="I32" s="12"/>
      <c r="J32" s="12"/>
      <c r="K32" s="14" t="s">
        <v>18</v>
      </c>
      <c r="L32" s="54">
        <f>MEDIAN(L20:L28)</f>
        <v>1.3834464742114658</v>
      </c>
    </row>
    <row r="33" spans="1:12" ht="22.5" customHeight="1">
      <c r="A33" s="12" t="s">
        <v>0</v>
      </c>
      <c r="B33" s="12"/>
      <c r="C33" s="12"/>
      <c r="D33" s="12"/>
      <c r="E33" s="12"/>
      <c r="F33" s="12"/>
      <c r="G33" s="12"/>
      <c r="H33" s="12"/>
      <c r="I33" s="12"/>
      <c r="J33" s="12"/>
      <c r="K33" s="14" t="s">
        <v>460</v>
      </c>
      <c r="L33" s="54">
        <f>AVERAGE(L20:L28)</f>
        <v>1.3983972444332804</v>
      </c>
    </row>
    <row r="34" spans="1:12" ht="22.5" customHeight="1" thickBot="1">
      <c r="A34" s="12"/>
      <c r="B34" s="12"/>
      <c r="C34" s="12"/>
      <c r="D34" s="12"/>
      <c r="E34" s="12"/>
      <c r="F34" s="12"/>
      <c r="G34" s="12" t="s">
        <v>0</v>
      </c>
      <c r="H34" s="12"/>
      <c r="I34" s="12"/>
      <c r="J34" s="12"/>
      <c r="K34" s="12"/>
      <c r="L34" s="12"/>
    </row>
    <row r="35" spans="1:12" ht="22.5" customHeight="1" thickBot="1">
      <c r="A35" s="12"/>
      <c r="B35" s="12"/>
      <c r="C35" s="12"/>
      <c r="D35" s="12"/>
      <c r="E35" s="12"/>
      <c r="F35" s="12"/>
      <c r="G35" s="12"/>
      <c r="H35" s="12"/>
      <c r="I35" s="12"/>
      <c r="J35" s="12"/>
      <c r="K35" s="212" t="s">
        <v>216</v>
      </c>
      <c r="L35" s="441">
        <v>1.3984000000000001</v>
      </c>
    </row>
    <row r="36" spans="1:12">
      <c r="A36" s="12"/>
      <c r="B36" s="12"/>
      <c r="C36" s="12"/>
      <c r="D36" s="12"/>
      <c r="E36" s="12"/>
      <c r="F36" s="12"/>
      <c r="G36" s="12"/>
      <c r="H36" s="12"/>
      <c r="I36" s="12"/>
      <c r="J36" s="12"/>
      <c r="K36" s="12"/>
      <c r="L36" s="12"/>
    </row>
    <row r="37" spans="1:12">
      <c r="A37" s="12"/>
      <c r="B37" s="12"/>
      <c r="C37" s="12"/>
      <c r="D37" s="12"/>
      <c r="E37" s="12"/>
      <c r="F37" s="12"/>
      <c r="G37" s="12"/>
      <c r="H37" s="12"/>
      <c r="I37" s="12"/>
      <c r="J37" s="12"/>
      <c r="K37" s="12"/>
      <c r="L37" s="12"/>
    </row>
    <row r="38" spans="1:12">
      <c r="A38" s="12" t="s">
        <v>73</v>
      </c>
      <c r="B38" s="12"/>
      <c r="C38" s="12"/>
      <c r="D38" s="12"/>
      <c r="E38" s="12"/>
      <c r="F38" s="12"/>
      <c r="G38" s="12"/>
      <c r="H38" s="12"/>
      <c r="I38" s="12"/>
      <c r="J38" s="12"/>
      <c r="K38" s="12"/>
      <c r="L38" s="12"/>
    </row>
    <row r="39" spans="1:12">
      <c r="A39" s="12" t="s">
        <v>278</v>
      </c>
    </row>
    <row r="40" spans="1:12">
      <c r="A40" s="12"/>
    </row>
    <row r="41" spans="1:12">
      <c r="A41" s="12" t="s">
        <v>403</v>
      </c>
    </row>
    <row r="42" spans="1:12" ht="18">
      <c r="A42" s="248"/>
      <c r="B42" s="248"/>
      <c r="C42" s="248"/>
      <c r="D42" s="248"/>
      <c r="E42" s="248"/>
      <c r="F42" s="248"/>
      <c r="G42" s="248"/>
      <c r="H42" s="248"/>
      <c r="I42" s="248"/>
      <c r="J42" s="248"/>
      <c r="K42" s="248"/>
      <c r="L42" s="248"/>
    </row>
    <row r="43" spans="1:12" ht="20.25">
      <c r="A43" s="23" t="s">
        <v>1</v>
      </c>
      <c r="B43" s="12"/>
      <c r="C43" s="12"/>
      <c r="D43" s="12"/>
      <c r="E43" s="12"/>
      <c r="F43" s="12"/>
      <c r="G43" s="12"/>
      <c r="H43" s="12"/>
      <c r="I43" s="12"/>
      <c r="J43" s="12"/>
      <c r="K43" s="248"/>
      <c r="L43" s="248"/>
    </row>
    <row r="44" spans="1:12" ht="18">
      <c r="A44" s="24" t="s">
        <v>9</v>
      </c>
      <c r="B44" s="12"/>
      <c r="C44" s="12"/>
      <c r="D44" s="12"/>
      <c r="E44" s="12"/>
      <c r="F44" s="12"/>
      <c r="G44" s="12"/>
      <c r="H44" s="12"/>
      <c r="I44" s="12"/>
      <c r="J44" s="12"/>
      <c r="K44" s="248"/>
      <c r="L44" s="248"/>
    </row>
    <row r="45" spans="1:12" ht="18">
      <c r="A45" s="25" t="s">
        <v>63</v>
      </c>
      <c r="B45" s="12"/>
      <c r="C45" s="12"/>
      <c r="D45" s="12"/>
      <c r="E45" s="12"/>
      <c r="F45" s="12"/>
      <c r="G45" s="12"/>
      <c r="H45" s="12"/>
      <c r="I45" s="12"/>
      <c r="J45" s="12"/>
      <c r="K45" s="248"/>
      <c r="L45" s="248"/>
    </row>
    <row r="46" spans="1:12" ht="18">
      <c r="A46" s="25"/>
      <c r="B46" s="12"/>
      <c r="C46" s="12"/>
      <c r="D46" s="12"/>
      <c r="E46" s="12"/>
      <c r="F46" s="12"/>
      <c r="G46" s="12"/>
      <c r="H46" s="12"/>
      <c r="I46" s="12"/>
      <c r="J46" s="12"/>
      <c r="K46" s="248"/>
      <c r="L46" s="248"/>
    </row>
    <row r="47" spans="1:12" ht="18">
      <c r="A47" s="25"/>
      <c r="B47" s="12"/>
      <c r="C47" s="12"/>
      <c r="D47" s="12"/>
      <c r="E47" s="12"/>
      <c r="F47" s="12"/>
      <c r="G47" s="12"/>
      <c r="H47" s="12"/>
      <c r="I47" s="12"/>
      <c r="J47" s="12"/>
      <c r="K47" s="248"/>
      <c r="L47" s="248"/>
    </row>
    <row r="48" spans="1:12" ht="18">
      <c r="A48" s="25"/>
      <c r="B48" s="12"/>
      <c r="C48" s="12"/>
      <c r="D48" s="12"/>
      <c r="E48" s="12"/>
      <c r="F48" s="12"/>
      <c r="G48" s="12"/>
      <c r="H48" s="12"/>
      <c r="I48" s="12"/>
      <c r="J48" s="12"/>
      <c r="K48" s="248"/>
      <c r="L48" s="248"/>
    </row>
    <row r="49" spans="1:12" ht="18.75" thickBot="1">
      <c r="B49" s="12"/>
      <c r="C49" s="12"/>
      <c r="D49" s="12"/>
      <c r="E49" s="12"/>
      <c r="F49" s="28"/>
      <c r="G49" s="28"/>
      <c r="H49" s="29" t="s">
        <v>0</v>
      </c>
      <c r="I49" s="12"/>
      <c r="J49" s="12"/>
      <c r="K49" s="248"/>
      <c r="L49" s="248"/>
    </row>
    <row r="50" spans="1:12" ht="20.25">
      <c r="B50" s="12"/>
      <c r="C50" s="12"/>
      <c r="D50" s="12"/>
      <c r="E50" s="12"/>
      <c r="F50" s="12"/>
      <c r="G50" s="31" t="s">
        <v>304</v>
      </c>
      <c r="H50" s="12"/>
      <c r="I50" s="12"/>
      <c r="J50" s="12"/>
      <c r="K50" s="248"/>
      <c r="L50" s="248"/>
    </row>
    <row r="51" spans="1:12" ht="18.75" thickBot="1">
      <c r="B51" s="40" t="s">
        <v>0</v>
      </c>
      <c r="C51" s="40" t="s">
        <v>0</v>
      </c>
      <c r="D51" s="12"/>
      <c r="E51" s="12"/>
      <c r="F51" s="33" t="s">
        <v>0</v>
      </c>
      <c r="G51" s="36" t="s">
        <v>77</v>
      </c>
      <c r="H51" s="33" t="s">
        <v>0</v>
      </c>
      <c r="I51" s="40" t="s">
        <v>0</v>
      </c>
      <c r="J51" s="12"/>
      <c r="K51" s="248"/>
      <c r="L51" s="248"/>
    </row>
    <row r="52" spans="1:12" ht="18">
      <c r="A52" s="248"/>
      <c r="B52" s="248"/>
      <c r="C52" s="248"/>
      <c r="D52" s="248"/>
      <c r="E52" s="248"/>
      <c r="F52" s="248"/>
      <c r="G52" s="248"/>
      <c r="H52" s="248"/>
      <c r="I52" s="248"/>
      <c r="J52" s="248"/>
      <c r="K52" s="248"/>
      <c r="L52" s="248"/>
    </row>
    <row r="53" spans="1:12" ht="18">
      <c r="A53" s="248"/>
      <c r="B53" s="248"/>
      <c r="C53" s="248"/>
      <c r="D53" s="248"/>
      <c r="E53" s="248"/>
      <c r="F53" s="248"/>
      <c r="G53" s="248"/>
      <c r="H53" s="248"/>
      <c r="I53" s="248"/>
      <c r="J53" s="248"/>
      <c r="K53" s="248"/>
      <c r="L53" s="248"/>
    </row>
    <row r="54" spans="1:12" ht="18">
      <c r="A54" s="248"/>
      <c r="B54" s="248"/>
      <c r="C54" s="248"/>
      <c r="D54" s="248"/>
      <c r="E54" s="248"/>
      <c r="F54" s="248"/>
      <c r="G54" s="248"/>
      <c r="H54" s="248"/>
      <c r="I54" s="248"/>
      <c r="J54" s="248"/>
      <c r="K54" s="248"/>
      <c r="L54" s="248"/>
    </row>
    <row r="55" spans="1:12">
      <c r="A55" s="40"/>
      <c r="B55" s="40"/>
      <c r="C55" s="40"/>
      <c r="D55" s="12"/>
      <c r="E55" s="12"/>
      <c r="J55" s="12"/>
      <c r="K55" s="12"/>
      <c r="L55" s="12"/>
    </row>
    <row r="56" spans="1:12" ht="25.5">
      <c r="A56" s="242" t="s">
        <v>293</v>
      </c>
      <c r="B56" s="40"/>
      <c r="C56" s="244" t="s">
        <v>298</v>
      </c>
      <c r="D56" s="12"/>
      <c r="E56" s="12"/>
      <c r="J56" s="12"/>
      <c r="K56" s="12"/>
      <c r="L56" s="12"/>
    </row>
    <row r="57" spans="1:12" ht="25.5">
      <c r="A57" s="242" t="s">
        <v>297</v>
      </c>
      <c r="B57" s="40"/>
      <c r="C57" s="244" t="s">
        <v>303</v>
      </c>
      <c r="D57" s="12"/>
      <c r="E57" s="12"/>
      <c r="J57" s="12"/>
      <c r="K57" s="12"/>
      <c r="L57" s="12"/>
    </row>
    <row r="58" spans="1:12" ht="15.75">
      <c r="A58" s="243" t="s">
        <v>294</v>
      </c>
      <c r="B58" s="40"/>
      <c r="C58" s="40"/>
      <c r="D58" s="12"/>
      <c r="E58" s="12"/>
      <c r="J58" s="12"/>
      <c r="K58" s="12"/>
      <c r="L58" s="12"/>
    </row>
    <row r="59" spans="1:12" ht="15.75">
      <c r="A59" s="243" t="s">
        <v>295</v>
      </c>
      <c r="B59" s="40"/>
      <c r="C59" s="40"/>
      <c r="D59" s="12"/>
      <c r="E59" s="12"/>
      <c r="J59" s="12"/>
      <c r="K59" s="12"/>
      <c r="L59" s="12"/>
    </row>
    <row r="60" spans="1:12" ht="15.75">
      <c r="A60" s="243" t="s">
        <v>296</v>
      </c>
      <c r="B60" s="40"/>
      <c r="C60" s="40"/>
      <c r="D60" s="12"/>
      <c r="E60" s="12"/>
      <c r="J60" s="12"/>
      <c r="K60" s="12"/>
      <c r="L60" s="12"/>
    </row>
    <row r="66" spans="1:9" ht="25.5">
      <c r="A66" s="245" t="s">
        <v>302</v>
      </c>
      <c r="B66" s="105"/>
      <c r="C66" s="105"/>
      <c r="D66" s="105"/>
      <c r="E66" s="105"/>
      <c r="F66" s="105"/>
      <c r="G66" s="12"/>
      <c r="H66" s="12"/>
      <c r="I66" s="12"/>
    </row>
    <row r="67" spans="1:9" ht="15.75">
      <c r="A67" s="105"/>
      <c r="B67" s="105"/>
      <c r="C67" s="105"/>
      <c r="D67" s="105"/>
      <c r="E67" s="105"/>
      <c r="F67" s="105"/>
      <c r="G67" s="12"/>
      <c r="H67" s="12"/>
      <c r="I67" s="12"/>
    </row>
    <row r="68" spans="1:9" ht="16.5" thickBot="1">
      <c r="A68" s="246" t="s">
        <v>299</v>
      </c>
      <c r="B68" s="107"/>
      <c r="C68" s="107"/>
      <c r="D68" s="247" t="s">
        <v>301</v>
      </c>
      <c r="E68" s="107"/>
      <c r="F68" s="105"/>
      <c r="G68" s="12"/>
      <c r="H68" s="12"/>
      <c r="I68" s="12"/>
    </row>
    <row r="69" spans="1:9" ht="15.75">
      <c r="A69" s="105"/>
      <c r="B69" s="105"/>
      <c r="C69" s="105"/>
      <c r="D69" s="105" t="s">
        <v>300</v>
      </c>
      <c r="E69" s="105"/>
      <c r="F69" s="105"/>
      <c r="G69" s="12"/>
      <c r="H69" s="12"/>
      <c r="I69" s="12"/>
    </row>
    <row r="70" spans="1:9" ht="15.75">
      <c r="A70" s="105"/>
      <c r="B70" s="105"/>
      <c r="C70" s="105"/>
      <c r="D70" s="105"/>
      <c r="E70" s="105"/>
      <c r="F70" s="105"/>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t="s">
        <v>0</v>
      </c>
      <c r="B76" s="12"/>
      <c r="C76" s="12"/>
      <c r="D76" s="12"/>
      <c r="E76" s="12"/>
      <c r="F76" s="12"/>
      <c r="G76" s="12"/>
      <c r="H76" s="12"/>
      <c r="I76" s="12"/>
    </row>
    <row r="77" spans="1:9">
      <c r="A77" s="12"/>
      <c r="B77" s="12"/>
      <c r="C77" s="12"/>
      <c r="D77" s="12"/>
      <c r="E77" s="12"/>
      <c r="F77" s="12"/>
      <c r="G77" s="12"/>
      <c r="H77" s="12"/>
      <c r="I77" s="12"/>
    </row>
  </sheetData>
  <pageMargins left="0.25" right="0.25" top="0.75" bottom="0.75" header="0.3" footer="0.3"/>
  <pageSetup scale="51" orientation="landscape" r:id="rId1"/>
  <rowBreaks count="1" manualBreakCount="1">
    <brk id="41"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I36"/>
  <sheetViews>
    <sheetView view="pageBreakPreview" topLeftCell="A3" zoomScale="60" zoomScaleNormal="80" workbookViewId="0">
      <selection activeCell="F30" sqref="F30"/>
    </sheetView>
  </sheetViews>
  <sheetFormatPr defaultRowHeight="15"/>
  <cols>
    <col min="1" max="1" width="45.140625" customWidth="1"/>
    <col min="2" max="2" width="17" customWidth="1"/>
    <col min="3" max="3" width="30.140625" customWidth="1"/>
    <col min="4" max="4" width="20.140625" customWidth="1"/>
    <col min="5" max="5" width="24.5703125" customWidth="1"/>
    <col min="6" max="6" width="23.5703125" customWidth="1"/>
    <col min="7" max="7" width="21.28515625" customWidth="1"/>
    <col min="8" max="8" width="19.7109375" customWidth="1"/>
    <col min="9" max="9" width="28.28515625" customWidth="1"/>
    <col min="10" max="10" width="14.140625" bestFit="1" customWidth="1"/>
    <col min="12" max="12" width="10.5703125" customWidth="1"/>
  </cols>
  <sheetData>
    <row r="1" spans="1:9" ht="20.25">
      <c r="A1" s="23" t="s">
        <v>1</v>
      </c>
      <c r="B1" s="12"/>
      <c r="C1" s="12"/>
      <c r="D1" s="12"/>
      <c r="E1" s="12"/>
      <c r="F1" s="12"/>
      <c r="G1" s="12"/>
      <c r="H1" s="12"/>
      <c r="I1" s="12"/>
    </row>
    <row r="2" spans="1:9" ht="15.75">
      <c r="A2" s="24" t="s">
        <v>9</v>
      </c>
      <c r="B2" s="12"/>
      <c r="C2" s="12"/>
      <c r="D2" s="12"/>
      <c r="E2" s="12"/>
      <c r="F2" s="12"/>
      <c r="G2" s="12"/>
      <c r="H2" s="12"/>
      <c r="I2" s="12"/>
    </row>
    <row r="3" spans="1:9">
      <c r="A3" s="25" t="s">
        <v>63</v>
      </c>
      <c r="B3" s="12"/>
      <c r="C3" s="12"/>
      <c r="D3" s="12"/>
      <c r="E3" s="12"/>
      <c r="F3" s="12"/>
      <c r="G3" s="12"/>
      <c r="H3" s="12"/>
      <c r="I3" s="12"/>
    </row>
    <row r="4" spans="1:9">
      <c r="A4" s="25"/>
      <c r="B4" s="12"/>
      <c r="C4" s="12"/>
      <c r="D4" s="12"/>
      <c r="E4" s="12"/>
      <c r="F4" s="12"/>
      <c r="G4" s="12"/>
      <c r="H4" s="12"/>
      <c r="I4" s="12"/>
    </row>
    <row r="5" spans="1:9">
      <c r="A5" s="25"/>
      <c r="B5" s="12"/>
      <c r="C5" s="12"/>
      <c r="D5" s="12"/>
      <c r="E5" s="12"/>
      <c r="F5" s="12"/>
      <c r="G5" s="12"/>
      <c r="H5" s="12"/>
      <c r="I5" s="12"/>
    </row>
    <row r="6" spans="1:9">
      <c r="A6" s="25"/>
      <c r="B6" s="12"/>
      <c r="C6" s="12"/>
      <c r="D6" s="12"/>
      <c r="E6" s="12"/>
      <c r="F6" s="12"/>
      <c r="G6" s="12"/>
      <c r="H6" s="12"/>
      <c r="I6" s="12"/>
    </row>
    <row r="7" spans="1:9" ht="15.75" thickBot="1">
      <c r="A7" s="12"/>
      <c r="B7" s="12"/>
      <c r="C7" s="12"/>
      <c r="H7" s="26"/>
      <c r="I7" s="12"/>
    </row>
    <row r="8" spans="1:9" ht="18.75" thickBot="1">
      <c r="A8" s="278" t="str">
        <f>+'S&amp;D'!A12</f>
        <v>Natural Gas Transmission Pipeline Carrier</v>
      </c>
      <c r="B8" s="205"/>
      <c r="C8" s="12"/>
      <c r="D8" s="28"/>
      <c r="E8" s="28"/>
      <c r="F8" s="28"/>
      <c r="H8" s="12"/>
      <c r="I8" s="12"/>
    </row>
    <row r="9" spans="1:9" ht="20.25">
      <c r="A9" s="30"/>
      <c r="B9" s="12"/>
      <c r="C9" s="12"/>
      <c r="D9" s="12"/>
      <c r="E9" s="31" t="s">
        <v>126</v>
      </c>
      <c r="F9" s="31"/>
      <c r="H9" s="12"/>
      <c r="I9" s="12"/>
    </row>
    <row r="10" spans="1:9" ht="18.75" thickBot="1">
      <c r="A10" s="30"/>
      <c r="B10" s="12"/>
      <c r="C10" s="12"/>
      <c r="D10" s="28"/>
      <c r="E10" s="36" t="s">
        <v>77</v>
      </c>
      <c r="F10" s="36"/>
      <c r="H10" s="12"/>
      <c r="I10" s="12"/>
    </row>
    <row r="11" spans="1:9" ht="18">
      <c r="A11" s="30"/>
      <c r="B11" s="12"/>
      <c r="I11" s="12"/>
    </row>
    <row r="12" spans="1:9" ht="15.75" thickBot="1">
      <c r="A12" s="33" t="s">
        <v>0</v>
      </c>
      <c r="B12" s="33" t="s">
        <v>0</v>
      </c>
      <c r="C12" s="33" t="s">
        <v>0</v>
      </c>
      <c r="D12" s="33" t="s">
        <v>0</v>
      </c>
      <c r="E12" s="33" t="s">
        <v>0</v>
      </c>
      <c r="F12" s="33"/>
      <c r="G12" s="33"/>
      <c r="H12" s="28"/>
      <c r="I12" s="28"/>
    </row>
    <row r="13" spans="1:9" ht="15.75">
      <c r="A13" s="89" t="s">
        <v>0</v>
      </c>
      <c r="B13" s="89" t="s">
        <v>3</v>
      </c>
      <c r="C13" s="89" t="s">
        <v>5</v>
      </c>
      <c r="D13" s="89" t="s">
        <v>174</v>
      </c>
      <c r="E13" s="190" t="s">
        <v>237</v>
      </c>
      <c r="F13" s="190" t="s">
        <v>351</v>
      </c>
      <c r="G13" s="89" t="s">
        <v>20</v>
      </c>
      <c r="H13" s="89" t="s">
        <v>150</v>
      </c>
      <c r="I13" s="89" t="s">
        <v>150</v>
      </c>
    </row>
    <row r="14" spans="1:9" ht="16.5" thickBot="1">
      <c r="A14" s="96" t="s">
        <v>2</v>
      </c>
      <c r="B14" s="96" t="s">
        <v>4</v>
      </c>
      <c r="C14" s="96" t="s">
        <v>6</v>
      </c>
      <c r="D14" s="96" t="s">
        <v>23</v>
      </c>
      <c r="E14" s="96" t="s">
        <v>352</v>
      </c>
      <c r="F14" s="96" t="s">
        <v>197</v>
      </c>
      <c r="G14" s="96" t="s">
        <v>22</v>
      </c>
      <c r="H14" s="96" t="s">
        <v>174</v>
      </c>
      <c r="I14" s="96" t="s">
        <v>122</v>
      </c>
    </row>
    <row r="15" spans="1:9">
      <c r="A15" s="38" t="s">
        <v>7</v>
      </c>
      <c r="B15" s="38" t="s">
        <v>7</v>
      </c>
      <c r="C15" s="38" t="s">
        <v>7</v>
      </c>
      <c r="D15" s="38" t="s">
        <v>7</v>
      </c>
      <c r="E15" s="239" t="s">
        <v>283</v>
      </c>
      <c r="F15" s="239" t="s">
        <v>283</v>
      </c>
      <c r="G15" s="38" t="s">
        <v>7</v>
      </c>
      <c r="H15" s="38" t="s">
        <v>7</v>
      </c>
      <c r="I15" s="239" t="s">
        <v>283</v>
      </c>
    </row>
    <row r="16" spans="1:9" ht="15.75" thickBot="1">
      <c r="A16" s="34"/>
      <c r="B16" s="34"/>
      <c r="C16" s="34"/>
      <c r="D16" s="34"/>
      <c r="G16" s="34"/>
      <c r="H16" s="34"/>
      <c r="I16" s="34"/>
    </row>
    <row r="17" spans="1:9">
      <c r="A17" s="159"/>
      <c r="B17" s="111"/>
      <c r="C17" s="111"/>
      <c r="D17" s="111"/>
      <c r="E17" s="322"/>
      <c r="F17" s="322"/>
      <c r="G17" s="111"/>
      <c r="H17" s="111"/>
      <c r="I17" s="160"/>
    </row>
    <row r="18" spans="1:9" ht="20.25" customHeight="1">
      <c r="A18" s="101" t="str">
        <f>+'S&amp;D'!A22</f>
        <v>DCP Midstream LP</v>
      </c>
      <c r="B18" s="89" t="str">
        <f>+'S&amp;D'!B22</f>
        <v>DCP</v>
      </c>
      <c r="C18" s="89" t="str">
        <f>+'S&amp;D'!C22</f>
        <v>Pipeline MLPs</v>
      </c>
      <c r="D18" s="274">
        <v>0.02</v>
      </c>
      <c r="E18" s="274">
        <v>0.15</v>
      </c>
      <c r="F18" s="274">
        <v>0.05</v>
      </c>
      <c r="G18" s="89" t="s">
        <v>25</v>
      </c>
      <c r="H18" s="420">
        <v>1.6</v>
      </c>
      <c r="I18" s="421">
        <v>1.45</v>
      </c>
    </row>
    <row r="19" spans="1:9" ht="20.25" customHeight="1">
      <c r="A19" s="101" t="str">
        <f>+'S&amp;D'!A23</f>
        <v>Enbridge Inc</v>
      </c>
      <c r="B19" s="89" t="str">
        <f>+'S&amp;D'!B23</f>
        <v>ENB.TO</v>
      </c>
      <c r="C19" s="89" t="str">
        <f>+'S&amp;D'!C23</f>
        <v>Oil &amp; Gas Distribution</v>
      </c>
      <c r="D19" s="274">
        <v>0.15</v>
      </c>
      <c r="E19" s="274">
        <v>9.5000000000000001E-2</v>
      </c>
      <c r="F19" s="396" t="s">
        <v>396</v>
      </c>
      <c r="G19" s="89" t="s">
        <v>26</v>
      </c>
      <c r="H19" s="420">
        <v>0.9</v>
      </c>
      <c r="I19" s="421">
        <v>0.85</v>
      </c>
    </row>
    <row r="20" spans="1:9" ht="20.25" customHeight="1">
      <c r="A20" s="101" t="str">
        <f>+'S&amp;D'!A24</f>
        <v>Energy Transfer LP</v>
      </c>
      <c r="B20" s="89" t="str">
        <f>+'S&amp;D'!B24</f>
        <v>ET</v>
      </c>
      <c r="C20" s="89" t="str">
        <f>+'S&amp;D'!C24</f>
        <v>Pipeline MLPs</v>
      </c>
      <c r="D20" s="396" t="s">
        <v>396</v>
      </c>
      <c r="E20" s="274">
        <v>0.15</v>
      </c>
      <c r="F20" s="274">
        <v>0.15</v>
      </c>
      <c r="G20" s="89" t="s">
        <v>25</v>
      </c>
      <c r="H20" s="420">
        <v>1.2</v>
      </c>
      <c r="I20" s="421">
        <v>1.1499999999999999</v>
      </c>
    </row>
    <row r="21" spans="1:9" ht="20.25" customHeight="1">
      <c r="A21" s="101" t="str">
        <f>+'S&amp;D'!A25</f>
        <v>Enlink Midstream LLC</v>
      </c>
      <c r="B21" s="89" t="str">
        <f>+'S&amp;D'!B25</f>
        <v>ENLC</v>
      </c>
      <c r="C21" s="89" t="str">
        <f>+'S&amp;D'!C25</f>
        <v>Oil &amp; Gas Distribution</v>
      </c>
      <c r="D21" s="396" t="s">
        <v>449</v>
      </c>
      <c r="E21" s="274">
        <v>0.24</v>
      </c>
      <c r="F21" s="396" t="s">
        <v>396</v>
      </c>
      <c r="G21" s="89" t="s">
        <v>397</v>
      </c>
      <c r="H21" s="420">
        <v>1.65</v>
      </c>
      <c r="I21" s="421">
        <v>1.55</v>
      </c>
    </row>
    <row r="22" spans="1:9" ht="20.25" customHeight="1">
      <c r="A22" s="101" t="str">
        <f>+'S&amp;D'!A26</f>
        <v>Enterprise Products Partnership LP</v>
      </c>
      <c r="B22" s="89" t="str">
        <f>+'S&amp;D'!B26</f>
        <v>EPD</v>
      </c>
      <c r="C22" s="89" t="str">
        <f>+'S&amp;D'!C26</f>
        <v>Pipeline MLPs</v>
      </c>
      <c r="D22" s="274">
        <v>1.4999999999999999E-2</v>
      </c>
      <c r="E22" s="274">
        <v>0.21</v>
      </c>
      <c r="F22" s="274">
        <v>5.5E-2</v>
      </c>
      <c r="G22" s="89" t="s">
        <v>26</v>
      </c>
      <c r="H22" s="420">
        <v>1.1000000000000001</v>
      </c>
      <c r="I22" s="421">
        <v>1.05</v>
      </c>
    </row>
    <row r="23" spans="1:9" ht="20.25" customHeight="1">
      <c r="A23" s="101" t="str">
        <f>+'S&amp;D'!A27</f>
        <v>Kinder Morgan Inc</v>
      </c>
      <c r="B23" s="89" t="str">
        <f>+'S&amp;D'!B27</f>
        <v>KMI</v>
      </c>
      <c r="C23" s="89" t="str">
        <f>+'S&amp;D'!C27</f>
        <v>Oil &amp; Gas Distribution</v>
      </c>
      <c r="D23" s="274">
        <v>0.21299999999999999</v>
      </c>
      <c r="E23" s="274">
        <v>8.5000000000000006E-2</v>
      </c>
      <c r="F23" s="274">
        <v>0.01</v>
      </c>
      <c r="G23" s="89" t="s">
        <v>92</v>
      </c>
      <c r="H23" s="420">
        <v>1.1499999999999999</v>
      </c>
      <c r="I23" s="421">
        <v>1.1000000000000001</v>
      </c>
    </row>
    <row r="24" spans="1:9" ht="20.25" customHeight="1">
      <c r="A24" s="101" t="str">
        <f>+'S&amp;D'!A28</f>
        <v>ONEOK Inc</v>
      </c>
      <c r="B24" s="89" t="str">
        <f>+'S&amp;D'!B28</f>
        <v>OKE</v>
      </c>
      <c r="C24" s="89" t="str">
        <f>+'S&amp;D'!C28</f>
        <v>Oil &amp; Gas Distribution</v>
      </c>
      <c r="D24" s="274">
        <v>0.21</v>
      </c>
      <c r="E24" s="274">
        <v>0.30499999999999999</v>
      </c>
      <c r="F24" s="274">
        <v>5.5E-2</v>
      </c>
      <c r="G24" s="89" t="s">
        <v>25</v>
      </c>
      <c r="H24" s="420">
        <v>1.5</v>
      </c>
      <c r="I24" s="421">
        <v>1.45</v>
      </c>
    </row>
    <row r="25" spans="1:9" ht="20.25" customHeight="1">
      <c r="A25" s="101" t="str">
        <f>+'S&amp;D'!A29</f>
        <v>TC Energy Corp</v>
      </c>
      <c r="B25" s="89" t="str">
        <f>+'S&amp;D'!B29</f>
        <v>TRP</v>
      </c>
      <c r="C25" s="89" t="str">
        <f>+'S&amp;D'!C29</f>
        <v>Oil &amp; Gas Distribution</v>
      </c>
      <c r="D25" s="274">
        <v>0.22</v>
      </c>
      <c r="E25" s="274">
        <v>0.115</v>
      </c>
      <c r="F25" s="396" t="s">
        <v>396</v>
      </c>
      <c r="G25" s="89" t="s">
        <v>26</v>
      </c>
      <c r="H25" s="420">
        <v>1.05</v>
      </c>
      <c r="I25" s="421">
        <v>1.05</v>
      </c>
    </row>
    <row r="26" spans="1:9" ht="20.25" customHeight="1" thickBot="1">
      <c r="A26" s="101" t="str">
        <f>+'S&amp;D'!A30</f>
        <v>Williams Companys Inc</v>
      </c>
      <c r="B26" s="89" t="str">
        <f>+'S&amp;D'!B30</f>
        <v>WMB</v>
      </c>
      <c r="C26" s="89" t="str">
        <f>+'S&amp;D'!C30</f>
        <v>Oil &amp; Gas Distribution</v>
      </c>
      <c r="D26" s="274">
        <v>0.23</v>
      </c>
      <c r="E26" s="274">
        <v>0.17</v>
      </c>
      <c r="F26" s="274">
        <v>5.0000000000000001E-3</v>
      </c>
      <c r="G26" s="89" t="s">
        <v>92</v>
      </c>
      <c r="H26" s="422">
        <v>1.2</v>
      </c>
      <c r="I26" s="423">
        <v>1.1499999999999999</v>
      </c>
    </row>
    <row r="27" spans="1:9" ht="20.25" customHeight="1" thickTop="1">
      <c r="A27" s="105"/>
      <c r="B27" s="105"/>
      <c r="C27" s="4"/>
      <c r="D27" s="184" t="s">
        <v>0</v>
      </c>
      <c r="E27" s="4"/>
      <c r="F27" s="4"/>
      <c r="G27" s="123" t="s">
        <v>46</v>
      </c>
      <c r="H27" s="185">
        <v>1.65</v>
      </c>
      <c r="I27" s="186">
        <v>1.55</v>
      </c>
    </row>
    <row r="28" spans="1:9" ht="20.25" customHeight="1">
      <c r="A28" s="105"/>
      <c r="B28" s="105"/>
      <c r="C28" s="4"/>
      <c r="D28" s="184" t="s">
        <v>0</v>
      </c>
      <c r="E28" s="4"/>
      <c r="F28" s="4"/>
      <c r="G28" s="123" t="s">
        <v>47</v>
      </c>
      <c r="H28" s="353">
        <v>0.9</v>
      </c>
      <c r="I28" s="354">
        <v>0.85</v>
      </c>
    </row>
    <row r="29" spans="1:9" ht="20.25" customHeight="1">
      <c r="A29" s="105"/>
      <c r="B29" s="105"/>
      <c r="C29" s="4"/>
      <c r="D29" s="187" t="s">
        <v>0</v>
      </c>
      <c r="E29" s="4"/>
      <c r="F29" s="4"/>
      <c r="G29" s="123" t="s">
        <v>18</v>
      </c>
      <c r="H29" s="188">
        <f>MEDIAN(H18:H26)</f>
        <v>1.2</v>
      </c>
      <c r="I29" s="188">
        <f>MEDIAN(I18:I26)</f>
        <v>1.1499999999999999</v>
      </c>
    </row>
    <row r="30" spans="1:9" ht="20.25" customHeight="1">
      <c r="A30" s="105"/>
      <c r="B30" s="105"/>
      <c r="C30" s="4"/>
      <c r="D30" s="126" t="s">
        <v>0</v>
      </c>
      <c r="E30" s="4"/>
      <c r="F30" s="4"/>
      <c r="G30" s="123" t="s">
        <v>460</v>
      </c>
      <c r="H30" s="189">
        <f>AVERAGE(H18:H26)</f>
        <v>1.2611111111111111</v>
      </c>
      <c r="I30" s="189">
        <f>AVERAGE(I18:I26)</f>
        <v>1.2000000000000002</v>
      </c>
    </row>
    <row r="31" spans="1:9" ht="20.25" customHeight="1" thickBot="1">
      <c r="A31" s="12"/>
      <c r="B31" s="12"/>
      <c r="C31" s="12"/>
      <c r="D31" s="12" t="s">
        <v>0</v>
      </c>
      <c r="G31" s="12"/>
      <c r="H31" s="12"/>
      <c r="I31" s="12"/>
    </row>
    <row r="32" spans="1:9" ht="20.25" customHeight="1" thickBot="1">
      <c r="A32" s="12"/>
      <c r="B32" s="12"/>
      <c r="C32" s="12"/>
      <c r="D32" s="12"/>
      <c r="G32" s="12"/>
      <c r="H32" s="212" t="s">
        <v>75</v>
      </c>
      <c r="I32" s="321">
        <v>1.2</v>
      </c>
    </row>
    <row r="33" spans="1:9" ht="20.25" customHeight="1">
      <c r="A33" s="12"/>
      <c r="B33" s="12"/>
      <c r="C33" s="12"/>
      <c r="D33" s="12"/>
      <c r="G33" s="12"/>
      <c r="H33" s="68"/>
      <c r="I33" s="297"/>
    </row>
    <row r="34" spans="1:9" ht="20.25" customHeight="1">
      <c r="A34" s="12"/>
      <c r="B34" s="12"/>
      <c r="C34" s="12"/>
      <c r="D34" s="12"/>
      <c r="G34" s="12"/>
      <c r="H34" s="68"/>
      <c r="I34" s="297"/>
    </row>
    <row r="35" spans="1:9" ht="15.75">
      <c r="A35" s="105" t="s">
        <v>354</v>
      </c>
    </row>
    <row r="36" spans="1:9" ht="15.75">
      <c r="A36" s="105" t="s">
        <v>353</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2"/>
  <sheetViews>
    <sheetView view="pageBreakPreview" topLeftCell="A2" zoomScale="60" zoomScaleNormal="80" workbookViewId="0">
      <selection activeCell="E31" sqref="E31"/>
    </sheetView>
  </sheetViews>
  <sheetFormatPr defaultRowHeight="15"/>
  <cols>
    <col min="1" max="1" width="50.42578125" customWidth="1"/>
    <col min="2" max="2" width="10.85546875" bestFit="1" customWidth="1"/>
    <col min="3" max="3" width="29.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3" t="s">
        <v>1</v>
      </c>
      <c r="B1" s="12"/>
      <c r="C1" s="12"/>
      <c r="D1" s="12"/>
      <c r="E1" s="12"/>
      <c r="F1" s="12"/>
      <c r="G1" s="12"/>
      <c r="H1" s="12"/>
      <c r="I1" s="12"/>
      <c r="J1" s="12"/>
    </row>
    <row r="2" spans="1:11" ht="15.75">
      <c r="A2" s="24" t="s">
        <v>9</v>
      </c>
      <c r="B2" s="12"/>
      <c r="C2" s="12"/>
      <c r="D2" s="12"/>
      <c r="E2" s="12"/>
      <c r="F2" s="12"/>
      <c r="G2" s="12"/>
      <c r="H2" s="12"/>
      <c r="I2" s="12"/>
      <c r="J2" s="12"/>
    </row>
    <row r="3" spans="1:11">
      <c r="A3" s="25" t="s">
        <v>63</v>
      </c>
      <c r="B3" s="12"/>
      <c r="C3" s="12"/>
      <c r="D3" s="12"/>
      <c r="E3" s="12"/>
      <c r="F3" s="12"/>
      <c r="G3" s="12"/>
      <c r="H3" s="12"/>
      <c r="I3" s="12"/>
      <c r="J3" s="12"/>
    </row>
    <row r="4" spans="1:11">
      <c r="A4" s="25"/>
      <c r="B4" s="12"/>
      <c r="C4" s="12"/>
      <c r="D4" s="12"/>
      <c r="E4" s="12"/>
      <c r="F4" s="12"/>
      <c r="G4" s="12"/>
      <c r="H4" s="12"/>
      <c r="I4" s="12"/>
      <c r="J4" s="12"/>
    </row>
    <row r="5" spans="1:11" ht="15.75" thickBot="1">
      <c r="A5" s="12"/>
      <c r="B5" s="12"/>
      <c r="C5" s="12"/>
      <c r="D5" s="12"/>
      <c r="E5" s="12"/>
      <c r="F5" s="12"/>
      <c r="G5" s="26"/>
      <c r="H5" s="12"/>
      <c r="I5" s="12"/>
      <c r="J5" s="12"/>
    </row>
    <row r="6" spans="1:11" ht="18.75" thickBot="1">
      <c r="A6" s="278" t="str">
        <f>+'S&amp;D'!A12</f>
        <v>Natural Gas Transmission Pipeline Carrier</v>
      </c>
      <c r="B6" s="205"/>
      <c r="C6" s="12"/>
      <c r="D6" s="28"/>
      <c r="E6" s="28"/>
      <c r="F6" s="29" t="s">
        <v>0</v>
      </c>
      <c r="G6" s="12"/>
      <c r="H6" s="12"/>
      <c r="I6" s="12"/>
      <c r="J6" s="12"/>
    </row>
    <row r="7" spans="1:11" ht="20.25">
      <c r="A7" s="30"/>
      <c r="B7" s="12"/>
      <c r="C7" s="12"/>
      <c r="D7" s="12"/>
      <c r="E7" s="31" t="s">
        <v>175</v>
      </c>
      <c r="F7" s="12"/>
      <c r="G7" s="12"/>
      <c r="H7" s="12"/>
      <c r="I7" s="12"/>
      <c r="J7" s="12"/>
    </row>
    <row r="8" spans="1:11" ht="18.75" thickBot="1">
      <c r="A8" s="30"/>
      <c r="B8" s="12"/>
      <c r="C8" s="12"/>
      <c r="D8" s="28"/>
      <c r="E8" s="32" t="s">
        <v>77</v>
      </c>
      <c r="F8" s="28"/>
      <c r="G8" s="12"/>
      <c r="H8" s="12"/>
      <c r="I8" s="12"/>
      <c r="J8" s="12"/>
    </row>
    <row r="9" spans="1:11" ht="15.75" thickBot="1">
      <c r="A9" s="33" t="s">
        <v>0</v>
      </c>
      <c r="B9" s="33" t="s">
        <v>0</v>
      </c>
      <c r="C9" s="33" t="s">
        <v>0</v>
      </c>
      <c r="D9" s="33" t="s">
        <v>0</v>
      </c>
      <c r="E9" s="33" t="s">
        <v>0</v>
      </c>
      <c r="F9" s="33"/>
      <c r="G9" s="28"/>
      <c r="H9" s="28"/>
      <c r="I9" s="28"/>
      <c r="J9" s="28"/>
      <c r="K9" s="157"/>
    </row>
    <row r="10" spans="1:11">
      <c r="A10" s="34" t="s">
        <v>0</v>
      </c>
      <c r="B10" s="34" t="s">
        <v>3</v>
      </c>
      <c r="C10" s="34" t="s">
        <v>5</v>
      </c>
      <c r="D10" s="34" t="s">
        <v>170</v>
      </c>
      <c r="E10" s="34" t="s">
        <v>171</v>
      </c>
      <c r="F10" s="34" t="s">
        <v>173</v>
      </c>
      <c r="G10" s="34" t="s">
        <v>171</v>
      </c>
      <c r="H10" s="34" t="s">
        <v>173</v>
      </c>
      <c r="I10" s="34" t="s">
        <v>171</v>
      </c>
      <c r="J10" s="34" t="s">
        <v>173</v>
      </c>
      <c r="K10" s="34" t="s">
        <v>286</v>
      </c>
    </row>
    <row r="11" spans="1:11">
      <c r="A11" s="34"/>
      <c r="B11" s="34" t="s">
        <v>4</v>
      </c>
      <c r="C11" s="34" t="s">
        <v>6</v>
      </c>
      <c r="D11" s="34" t="s">
        <v>28</v>
      </c>
      <c r="E11" s="34" t="s">
        <v>172</v>
      </c>
      <c r="F11" s="34" t="s">
        <v>123</v>
      </c>
      <c r="G11" s="34" t="s">
        <v>172</v>
      </c>
      <c r="H11" s="34" t="s">
        <v>123</v>
      </c>
      <c r="I11" s="34" t="s">
        <v>172</v>
      </c>
      <c r="J11" s="34" t="s">
        <v>123</v>
      </c>
      <c r="K11" s="34" t="s">
        <v>188</v>
      </c>
    </row>
    <row r="12" spans="1:11" ht="15.75" thickBot="1">
      <c r="A12" s="36" t="s">
        <v>2</v>
      </c>
      <c r="B12" s="36" t="s">
        <v>0</v>
      </c>
      <c r="C12" s="36" t="s">
        <v>0</v>
      </c>
      <c r="D12" s="36" t="s">
        <v>0</v>
      </c>
      <c r="E12" s="36" t="s">
        <v>174</v>
      </c>
      <c r="F12" s="36" t="s">
        <v>174</v>
      </c>
      <c r="G12" s="36" t="s">
        <v>284</v>
      </c>
      <c r="H12" s="36" t="s">
        <v>284</v>
      </c>
      <c r="I12" s="36" t="s">
        <v>285</v>
      </c>
      <c r="J12" s="36" t="s">
        <v>285</v>
      </c>
      <c r="K12" s="240" t="s">
        <v>287</v>
      </c>
    </row>
    <row r="13" spans="1:11">
      <c r="A13" s="38" t="s">
        <v>7</v>
      </c>
      <c r="B13" s="38" t="s">
        <v>7</v>
      </c>
      <c r="C13" s="38" t="s">
        <v>7</v>
      </c>
      <c r="D13" s="39" t="s">
        <v>116</v>
      </c>
      <c r="E13" s="38" t="s">
        <v>7</v>
      </c>
      <c r="F13" s="38" t="s">
        <v>15</v>
      </c>
      <c r="G13" s="38" t="s">
        <v>7</v>
      </c>
      <c r="H13" s="38" t="s">
        <v>15</v>
      </c>
      <c r="I13" s="38" t="s">
        <v>7</v>
      </c>
      <c r="J13" s="38" t="s">
        <v>15</v>
      </c>
      <c r="K13" s="38" t="s">
        <v>15</v>
      </c>
    </row>
    <row r="14" spans="1:11">
      <c r="A14" s="34"/>
      <c r="B14" s="34"/>
      <c r="C14" s="34"/>
      <c r="D14" s="34"/>
      <c r="E14" s="34"/>
      <c r="F14" s="34"/>
      <c r="G14" s="12"/>
      <c r="H14" s="12"/>
      <c r="I14" s="12"/>
      <c r="J14" s="12"/>
      <c r="K14" s="12"/>
    </row>
    <row r="15" spans="1:11">
      <c r="A15" s="12"/>
      <c r="B15" s="12"/>
      <c r="C15" s="12"/>
      <c r="D15" s="12"/>
      <c r="E15" s="12"/>
      <c r="F15" s="12"/>
      <c r="G15" s="12"/>
      <c r="H15" s="12"/>
      <c r="I15" s="12"/>
      <c r="J15" s="12"/>
      <c r="K15" s="12"/>
    </row>
    <row r="16" spans="1:11" ht="15.75">
      <c r="A16" s="62" t="str">
        <f>+'S&amp;D'!A22</f>
        <v>DCP Midstream LP</v>
      </c>
      <c r="B16" s="89" t="str">
        <f>+'S&amp;D'!B22</f>
        <v>DCP</v>
      </c>
      <c r="C16" s="89" t="str">
        <f>+'S&amp;D'!C22</f>
        <v>Pipeline MLPs</v>
      </c>
      <c r="D16" s="59">
        <f>+'S&amp;D'!G22</f>
        <v>38.79</v>
      </c>
      <c r="E16" s="403">
        <v>1.64</v>
      </c>
      <c r="F16" s="53">
        <f>+E16/D16</f>
        <v>4.2278937870585204E-2</v>
      </c>
      <c r="G16" s="403">
        <v>2.8</v>
      </c>
      <c r="H16" s="53">
        <f>+G16/D16</f>
        <v>7.2183552461974734E-2</v>
      </c>
      <c r="I16" s="403">
        <v>3.65</v>
      </c>
      <c r="J16" s="53">
        <f>+I16/D16</f>
        <v>9.409641660221707E-2</v>
      </c>
      <c r="K16" s="425">
        <f>RATE(3,,-G16,I16)</f>
        <v>9.2391413245761334E-2</v>
      </c>
    </row>
    <row r="17" spans="1:11" ht="15.75">
      <c r="A17" s="62" t="str">
        <f>+'S&amp;D'!A23</f>
        <v>Enbridge Inc</v>
      </c>
      <c r="B17" s="89" t="str">
        <f>+'S&amp;D'!B23</f>
        <v>ENB.TO</v>
      </c>
      <c r="C17" s="89" t="str">
        <f>+'S&amp;D'!C23</f>
        <v>Oil &amp; Gas Distribution</v>
      </c>
      <c r="D17" s="59">
        <f>+'S&amp;D'!G23</f>
        <v>52.92</v>
      </c>
      <c r="E17" s="403">
        <v>3.44</v>
      </c>
      <c r="F17" s="53">
        <f t="shared" ref="F17:F21" si="0">+E17/D17</f>
        <v>6.5003779289493566E-2</v>
      </c>
      <c r="G17" s="403">
        <v>3.55</v>
      </c>
      <c r="H17" s="53">
        <f t="shared" ref="H17:H21" si="1">+G17/D17</f>
        <v>6.7082388510959934E-2</v>
      </c>
      <c r="I17" s="403">
        <v>3.75</v>
      </c>
      <c r="J17" s="53">
        <f t="shared" ref="J17:J21" si="2">+I17/D17</f>
        <v>7.0861678004535147E-2</v>
      </c>
      <c r="K17" s="425">
        <f t="shared" ref="K17:K21" si="3">RATE(3,,-G17,I17)</f>
        <v>1.8437318835523873E-2</v>
      </c>
    </row>
    <row r="18" spans="1:11" ht="15.75">
      <c r="A18" s="62" t="str">
        <f>+'S&amp;D'!A24</f>
        <v>Energy Transfer LP</v>
      </c>
      <c r="B18" s="89" t="str">
        <f>+'S&amp;D'!B24</f>
        <v>ET</v>
      </c>
      <c r="C18" s="89" t="str">
        <f>+'S&amp;D'!C24</f>
        <v>Pipeline MLPs</v>
      </c>
      <c r="D18" s="59">
        <f>+'S&amp;D'!G24</f>
        <v>11.87</v>
      </c>
      <c r="E18" s="403">
        <v>0.87</v>
      </c>
      <c r="F18" s="53">
        <f t="shared" si="0"/>
        <v>7.329401853411964E-2</v>
      </c>
      <c r="G18" s="403">
        <v>0.92</v>
      </c>
      <c r="H18" s="53">
        <f t="shared" si="1"/>
        <v>7.7506318449873643E-2</v>
      </c>
      <c r="I18" s="403">
        <v>1.22</v>
      </c>
      <c r="J18" s="53">
        <f t="shared" si="2"/>
        <v>0.10278011794439765</v>
      </c>
      <c r="K18" s="425">
        <f t="shared" si="3"/>
        <v>9.8644875762172596E-2</v>
      </c>
    </row>
    <row r="19" spans="1:11" ht="15.75">
      <c r="A19" s="62" t="str">
        <f>+'S&amp;D'!A25</f>
        <v>Enlink Midstream LLC</v>
      </c>
      <c r="B19" s="89" t="str">
        <f>+'S&amp;D'!B25</f>
        <v>ENLC</v>
      </c>
      <c r="C19" s="89" t="str">
        <f>+'S&amp;D'!C25</f>
        <v>Oil &amp; Gas Distribution</v>
      </c>
      <c r="D19" s="59">
        <f>+'S&amp;D'!G25</f>
        <v>12.3</v>
      </c>
      <c r="E19" s="403">
        <v>0.45</v>
      </c>
      <c r="F19" s="53">
        <f t="shared" si="0"/>
        <v>3.6585365853658534E-2</v>
      </c>
      <c r="G19" s="403">
        <v>0.45</v>
      </c>
      <c r="H19" s="53">
        <f t="shared" si="1"/>
        <v>3.6585365853658534E-2</v>
      </c>
      <c r="I19" s="403">
        <v>0.45</v>
      </c>
      <c r="J19" s="53">
        <f t="shared" si="2"/>
        <v>3.6585365853658534E-2</v>
      </c>
      <c r="K19" s="425">
        <f t="shared" si="3"/>
        <v>4.5702899718539028E-14</v>
      </c>
    </row>
    <row r="20" spans="1:11" ht="15.75">
      <c r="A20" s="62" t="str">
        <f>+'S&amp;D'!A26</f>
        <v>Enterprise Products Partnership LP</v>
      </c>
      <c r="B20" s="89" t="str">
        <f>+'S&amp;D'!B26</f>
        <v>EPD</v>
      </c>
      <c r="C20" s="89" t="str">
        <f>+'S&amp;D'!C26</f>
        <v>Pipeline MLPs</v>
      </c>
      <c r="D20" s="59">
        <f>+'S&amp;D'!G26</f>
        <v>24.12</v>
      </c>
      <c r="E20" s="403">
        <v>1.88</v>
      </c>
      <c r="F20" s="53">
        <f t="shared" si="0"/>
        <v>7.7943615257048085E-2</v>
      </c>
      <c r="G20" s="403">
        <v>2</v>
      </c>
      <c r="H20" s="53">
        <f t="shared" si="1"/>
        <v>8.2918739635157543E-2</v>
      </c>
      <c r="I20" s="403">
        <v>3.15</v>
      </c>
      <c r="J20" s="53">
        <f t="shared" si="2"/>
        <v>0.13059701492537312</v>
      </c>
      <c r="K20" s="425">
        <f t="shared" si="3"/>
        <v>0.16348338572528087</v>
      </c>
    </row>
    <row r="21" spans="1:11" ht="15.75">
      <c r="A21" s="62" t="str">
        <f>+'S&amp;D'!A27</f>
        <v>Kinder Morgan Inc</v>
      </c>
      <c r="B21" s="89" t="str">
        <f>+'S&amp;D'!B27</f>
        <v>KMI</v>
      </c>
      <c r="C21" s="89" t="str">
        <f>+'S&amp;D'!C27</f>
        <v>Oil &amp; Gas Distribution</v>
      </c>
      <c r="D21" s="59">
        <f>+'S&amp;D'!G27</f>
        <v>18.079999999999998</v>
      </c>
      <c r="E21" s="403">
        <v>1.1000000000000001</v>
      </c>
      <c r="F21" s="53">
        <f t="shared" si="0"/>
        <v>6.0840707964601781E-2</v>
      </c>
      <c r="G21" s="403">
        <v>1.1499999999999999</v>
      </c>
      <c r="H21" s="53">
        <f t="shared" si="1"/>
        <v>6.3606194690265488E-2</v>
      </c>
      <c r="I21" s="403">
        <v>1.55</v>
      </c>
      <c r="J21" s="53">
        <f t="shared" si="2"/>
        <v>8.573008849557523E-2</v>
      </c>
      <c r="K21" s="425">
        <f t="shared" si="3"/>
        <v>0.10461588908611899</v>
      </c>
    </row>
    <row r="22" spans="1:11" ht="15.75">
      <c r="A22" s="62" t="str">
        <f>+'S&amp;D'!A28</f>
        <v>ONEOK Inc</v>
      </c>
      <c r="B22" s="89" t="str">
        <f>+'S&amp;D'!B28</f>
        <v>OKE</v>
      </c>
      <c r="C22" s="89" t="str">
        <f>+'S&amp;D'!C28</f>
        <v>Oil &amp; Gas Distribution</v>
      </c>
      <c r="D22" s="59">
        <f>+'S&amp;D'!G28</f>
        <v>65.7</v>
      </c>
      <c r="E22" s="403">
        <v>3.74</v>
      </c>
      <c r="F22" s="53">
        <f t="shared" ref="F22:F24" si="4">+E22/D22</f>
        <v>5.6925418569254184E-2</v>
      </c>
      <c r="G22" s="403">
        <v>3.82</v>
      </c>
      <c r="H22" s="53">
        <f>+G22/D22</f>
        <v>5.814307458143074E-2</v>
      </c>
      <c r="I22" s="403">
        <v>4.5999999999999996</v>
      </c>
      <c r="J22" s="53">
        <f t="shared" ref="J22:J24" si="5">+I22/D22</f>
        <v>7.0015220700152203E-2</v>
      </c>
      <c r="K22" s="425">
        <f>RATE(3,,-G22,I22)</f>
        <v>6.3893501811223524E-2</v>
      </c>
    </row>
    <row r="23" spans="1:11" ht="15.75">
      <c r="A23" s="62" t="str">
        <f>+'S&amp;D'!A29</f>
        <v>TC Energy Corp</v>
      </c>
      <c r="B23" s="89" t="str">
        <f>+'S&amp;D'!B29</f>
        <v>TRP</v>
      </c>
      <c r="C23" s="89" t="str">
        <f>+'S&amp;D'!C29</f>
        <v>Oil &amp; Gas Distribution</v>
      </c>
      <c r="D23" s="59">
        <f>+'S&amp;D'!G29</f>
        <v>39.86</v>
      </c>
      <c r="E23" s="403">
        <v>2.66</v>
      </c>
      <c r="F23" s="53">
        <f t="shared" si="4"/>
        <v>6.6733567486201711E-2</v>
      </c>
      <c r="G23" s="403">
        <v>2.8</v>
      </c>
      <c r="H23" s="53">
        <f t="shared" ref="H23:H24" si="6">+G23/D23</f>
        <v>7.0245860511791269E-2</v>
      </c>
      <c r="I23" s="403">
        <v>3.4</v>
      </c>
      <c r="J23" s="53">
        <f t="shared" si="5"/>
        <v>8.5298544907175117E-2</v>
      </c>
      <c r="K23" s="425">
        <f t="shared" ref="K23:K24" si="7">RATE(3,,-G23,I23)</f>
        <v>6.6858844343088961E-2</v>
      </c>
    </row>
    <row r="24" spans="1:11" ht="15.75">
      <c r="A24" s="62" t="str">
        <f>+'S&amp;D'!A30</f>
        <v>Williams Companys Inc</v>
      </c>
      <c r="B24" s="89" t="str">
        <f>+'S&amp;D'!B30</f>
        <v>WMB</v>
      </c>
      <c r="C24" s="89" t="str">
        <f>+'S&amp;D'!C30</f>
        <v>Oil &amp; Gas Distribution</v>
      </c>
      <c r="D24" s="59">
        <f>+'S&amp;D'!G30</f>
        <v>32.9</v>
      </c>
      <c r="E24" s="403">
        <v>1.7</v>
      </c>
      <c r="F24" s="53">
        <f t="shared" si="4"/>
        <v>5.1671732522796353E-2</v>
      </c>
      <c r="G24" s="403">
        <v>1.79</v>
      </c>
      <c r="H24" s="53">
        <f t="shared" si="6"/>
        <v>5.4407294832826754E-2</v>
      </c>
      <c r="I24" s="403">
        <v>2.1</v>
      </c>
      <c r="J24" s="53">
        <f t="shared" si="5"/>
        <v>6.3829787234042562E-2</v>
      </c>
      <c r="K24" s="425">
        <f t="shared" si="7"/>
        <v>5.468334500359439E-2</v>
      </c>
    </row>
    <row r="25" spans="1:11" ht="15.75" thickBot="1">
      <c r="A25" s="12"/>
      <c r="B25" s="12"/>
      <c r="C25" s="43"/>
      <c r="D25" s="46"/>
      <c r="E25" s="46"/>
      <c r="F25" s="46"/>
      <c r="G25" s="46"/>
      <c r="H25" s="46"/>
      <c r="I25" s="46"/>
      <c r="J25" s="46"/>
      <c r="K25" s="46"/>
    </row>
    <row r="26" spans="1:11" ht="15.75" thickTop="1">
      <c r="A26" s="12"/>
      <c r="B26" s="12"/>
      <c r="D26" s="14" t="s">
        <v>46</v>
      </c>
      <c r="E26" s="16">
        <v>3.74</v>
      </c>
      <c r="F26" s="326">
        <v>7.7899999999999997E-2</v>
      </c>
      <c r="G26" s="16">
        <v>3.82</v>
      </c>
      <c r="H26" s="326">
        <v>8.2900000000000001E-2</v>
      </c>
      <c r="I26" s="16">
        <v>4.5999999999999996</v>
      </c>
      <c r="J26" s="326">
        <v>0.13059999999999999</v>
      </c>
      <c r="K26" s="326">
        <v>0.16350000000000001</v>
      </c>
    </row>
    <row r="27" spans="1:11">
      <c r="A27" s="12"/>
      <c r="B27" s="12"/>
      <c r="D27" s="14" t="s">
        <v>47</v>
      </c>
      <c r="E27" s="351">
        <v>0.45</v>
      </c>
      <c r="F27" s="352">
        <v>3.6600000000000001E-2</v>
      </c>
      <c r="G27" s="351">
        <v>0.45</v>
      </c>
      <c r="H27" s="352">
        <v>3.6600000000000001E-2</v>
      </c>
      <c r="I27" s="351">
        <v>0.45</v>
      </c>
      <c r="J27" s="352">
        <v>3.6600000000000001E-2</v>
      </c>
      <c r="K27" s="352">
        <v>0</v>
      </c>
    </row>
    <row r="28" spans="1:11">
      <c r="A28" s="12"/>
      <c r="B28" s="12"/>
      <c r="D28" s="14" t="s">
        <v>18</v>
      </c>
      <c r="E28" s="17">
        <f t="shared" ref="E28:K28" si="8">MEDIAN(E16:E24)</f>
        <v>1.7</v>
      </c>
      <c r="F28" s="54">
        <f t="shared" si="8"/>
        <v>6.0840707964601781E-2</v>
      </c>
      <c r="G28" s="17">
        <f t="shared" si="8"/>
        <v>2</v>
      </c>
      <c r="H28" s="54">
        <f t="shared" si="8"/>
        <v>6.7082388510959934E-2</v>
      </c>
      <c r="I28" s="17">
        <f t="shared" si="8"/>
        <v>3.15</v>
      </c>
      <c r="J28" s="54">
        <f t="shared" si="8"/>
        <v>8.5298544907175117E-2</v>
      </c>
      <c r="K28" s="54">
        <f t="shared" si="8"/>
        <v>6.6858844343088961E-2</v>
      </c>
    </row>
    <row r="29" spans="1:11">
      <c r="A29" s="12"/>
      <c r="B29" s="12"/>
      <c r="D29" s="14" t="s">
        <v>460</v>
      </c>
      <c r="E29" s="21">
        <f t="shared" ref="E29:K29" si="9">AVERAGE(E16:E24)</f>
        <v>1.9422222222222223</v>
      </c>
      <c r="F29" s="56">
        <f t="shared" si="9"/>
        <v>5.9030793705306568E-2</v>
      </c>
      <c r="G29" s="21">
        <f t="shared" si="9"/>
        <v>2.1422222222222218</v>
      </c>
      <c r="H29" s="56">
        <f t="shared" si="9"/>
        <v>6.4742087725326525E-2</v>
      </c>
      <c r="I29" s="21">
        <f t="shared" si="9"/>
        <v>2.6522222222222225</v>
      </c>
      <c r="J29" s="56">
        <f t="shared" si="9"/>
        <v>8.2199359407458511E-2</v>
      </c>
      <c r="K29" s="56">
        <f t="shared" si="9"/>
        <v>7.3667619312534474E-2</v>
      </c>
    </row>
    <row r="30" spans="1:11">
      <c r="A30" s="12"/>
      <c r="B30" s="12"/>
      <c r="C30" s="12"/>
      <c r="D30" s="12"/>
      <c r="E30" s="12"/>
      <c r="F30" s="12"/>
      <c r="G30" s="12"/>
      <c r="H30" s="12"/>
      <c r="I30" s="12"/>
      <c r="J30" s="12"/>
      <c r="K30" s="12"/>
    </row>
    <row r="31" spans="1:11" ht="20.25">
      <c r="A31" s="12"/>
      <c r="B31" s="12"/>
      <c r="C31" s="12"/>
      <c r="D31" s="12"/>
      <c r="E31" s="12"/>
      <c r="F31" s="49" t="s">
        <v>0</v>
      </c>
      <c r="G31" s="63" t="s">
        <v>0</v>
      </c>
      <c r="H31" s="12"/>
      <c r="I31" s="12"/>
      <c r="J31" s="12"/>
      <c r="K31" s="12"/>
    </row>
    <row r="32" spans="1:11" ht="18.75">
      <c r="A32" s="241" t="s">
        <v>288</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2"/>
  <sheetViews>
    <sheetView view="pageBreakPreview" zoomScale="60" zoomScaleNormal="80" workbookViewId="0">
      <selection activeCell="H37" sqref="H37"/>
    </sheetView>
  </sheetViews>
  <sheetFormatPr defaultRowHeight="15"/>
  <cols>
    <col min="1" max="1" width="51.5703125" customWidth="1"/>
    <col min="2" max="2" width="10.85546875" bestFit="1" customWidth="1"/>
    <col min="3" max="3" width="24.855468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3" t="s">
        <v>1</v>
      </c>
      <c r="B1" s="12"/>
      <c r="C1" s="12"/>
      <c r="D1" s="12"/>
      <c r="E1" s="12"/>
      <c r="F1" s="12"/>
      <c r="G1" s="12"/>
      <c r="H1" s="12"/>
      <c r="I1" s="12"/>
      <c r="J1" s="12"/>
    </row>
    <row r="2" spans="1:11" ht="15.75">
      <c r="A2" s="24" t="s">
        <v>9</v>
      </c>
      <c r="B2" s="12"/>
      <c r="C2" s="12"/>
      <c r="D2" s="12"/>
      <c r="E2" s="12"/>
      <c r="F2" s="12"/>
      <c r="G2" s="12"/>
      <c r="H2" s="12"/>
      <c r="I2" s="12"/>
      <c r="J2" s="12"/>
    </row>
    <row r="3" spans="1:11">
      <c r="A3" s="25" t="s">
        <v>63</v>
      </c>
      <c r="B3" s="12"/>
      <c r="C3" s="12"/>
      <c r="D3" s="12"/>
      <c r="E3" s="12"/>
      <c r="F3" s="12"/>
      <c r="G3" s="12"/>
      <c r="H3" s="12"/>
      <c r="I3" s="12"/>
      <c r="J3" s="12"/>
    </row>
    <row r="4" spans="1:11">
      <c r="A4" s="25"/>
      <c r="B4" s="12"/>
      <c r="C4" s="12"/>
      <c r="D4" s="12"/>
      <c r="E4" s="12"/>
      <c r="F4" s="12"/>
      <c r="G4" s="12"/>
      <c r="H4" s="12"/>
      <c r="I4" s="12"/>
      <c r="J4" s="12"/>
    </row>
    <row r="5" spans="1:11" ht="15.75" thickBot="1">
      <c r="A5" s="12"/>
      <c r="B5" s="12"/>
      <c r="C5" s="12"/>
      <c r="D5" s="12"/>
      <c r="E5" s="12"/>
      <c r="F5" s="12"/>
      <c r="G5" s="26"/>
      <c r="H5" s="12"/>
      <c r="I5" s="12"/>
      <c r="J5" s="12"/>
    </row>
    <row r="6" spans="1:11" ht="18.75" thickBot="1">
      <c r="A6" s="278" t="str">
        <f>+'S&amp;D'!A12</f>
        <v>Natural Gas Transmission Pipeline Carrier</v>
      </c>
      <c r="B6" s="205"/>
      <c r="C6" s="12"/>
      <c r="D6" s="28"/>
      <c r="E6" s="28"/>
      <c r="F6" s="29" t="s">
        <v>0</v>
      </c>
      <c r="G6" s="12"/>
      <c r="H6" s="12"/>
      <c r="I6" s="12"/>
      <c r="J6" s="12"/>
    </row>
    <row r="7" spans="1:11" ht="20.25">
      <c r="A7" s="30"/>
      <c r="B7" s="12"/>
      <c r="C7" s="12"/>
      <c r="D7" s="12"/>
      <c r="E7" s="31" t="s">
        <v>289</v>
      </c>
      <c r="F7" s="12"/>
      <c r="G7" s="12"/>
      <c r="H7" s="12"/>
      <c r="I7" s="12"/>
      <c r="J7" s="12"/>
    </row>
    <row r="8" spans="1:11" ht="18.75" thickBot="1">
      <c r="A8" s="30"/>
      <c r="B8" s="12"/>
      <c r="C8" s="12"/>
      <c r="D8" s="28"/>
      <c r="E8" s="32" t="s">
        <v>77</v>
      </c>
      <c r="F8" s="28"/>
      <c r="G8" s="12"/>
      <c r="H8" s="12"/>
      <c r="I8" s="12"/>
      <c r="J8" s="12"/>
    </row>
    <row r="9" spans="1:11" ht="15.75" thickBot="1">
      <c r="A9" s="33" t="s">
        <v>0</v>
      </c>
      <c r="B9" s="33" t="s">
        <v>0</v>
      </c>
      <c r="C9" s="33" t="s">
        <v>0</v>
      </c>
      <c r="D9" s="33" t="s">
        <v>0</v>
      </c>
      <c r="E9" s="33" t="s">
        <v>0</v>
      </c>
      <c r="F9" s="33"/>
      <c r="G9" s="28"/>
      <c r="H9" s="28"/>
      <c r="I9" s="28"/>
      <c r="J9" s="28"/>
      <c r="K9" s="157"/>
    </row>
    <row r="10" spans="1:11">
      <c r="A10" s="34" t="s">
        <v>0</v>
      </c>
      <c r="B10" s="34" t="s">
        <v>3</v>
      </c>
      <c r="C10" s="34" t="s">
        <v>5</v>
      </c>
      <c r="D10" s="34" t="s">
        <v>170</v>
      </c>
      <c r="E10" s="34" t="s">
        <v>176</v>
      </c>
      <c r="F10" s="34" t="s">
        <v>176</v>
      </c>
      <c r="G10" s="34" t="s">
        <v>176</v>
      </c>
      <c r="H10" s="34" t="s">
        <v>176</v>
      </c>
      <c r="I10" s="34" t="s">
        <v>176</v>
      </c>
      <c r="J10" s="34" t="s">
        <v>176</v>
      </c>
      <c r="K10" s="34" t="s">
        <v>286</v>
      </c>
    </row>
    <row r="11" spans="1:11">
      <c r="A11" s="34"/>
      <c r="B11" s="34" t="s">
        <v>4</v>
      </c>
      <c r="C11" s="34" t="s">
        <v>6</v>
      </c>
      <c r="D11" s="34" t="s">
        <v>28</v>
      </c>
      <c r="E11" s="34" t="s">
        <v>172</v>
      </c>
      <c r="F11" s="34" t="s">
        <v>123</v>
      </c>
      <c r="G11" s="34" t="s">
        <v>172</v>
      </c>
      <c r="H11" s="34" t="s">
        <v>123</v>
      </c>
      <c r="I11" s="34" t="s">
        <v>172</v>
      </c>
      <c r="J11" s="34" t="s">
        <v>123</v>
      </c>
      <c r="K11" s="34" t="s">
        <v>188</v>
      </c>
    </row>
    <row r="12" spans="1:11" ht="15.75" thickBot="1">
      <c r="A12" s="36" t="s">
        <v>2</v>
      </c>
      <c r="B12" s="36" t="s">
        <v>0</v>
      </c>
      <c r="C12" s="36" t="s">
        <v>0</v>
      </c>
      <c r="D12" s="36" t="s">
        <v>0</v>
      </c>
      <c r="E12" s="36" t="s">
        <v>174</v>
      </c>
      <c r="F12" s="36" t="s">
        <v>174</v>
      </c>
      <c r="G12" s="36" t="s">
        <v>284</v>
      </c>
      <c r="H12" s="36" t="s">
        <v>284</v>
      </c>
      <c r="I12" s="36" t="s">
        <v>285</v>
      </c>
      <c r="J12" s="36" t="s">
        <v>285</v>
      </c>
      <c r="K12" s="240" t="s">
        <v>287</v>
      </c>
    </row>
    <row r="13" spans="1:11">
      <c r="A13" s="38" t="s">
        <v>7</v>
      </c>
      <c r="B13" s="38" t="s">
        <v>7</v>
      </c>
      <c r="C13" s="38" t="s">
        <v>7</v>
      </c>
      <c r="D13" s="39" t="s">
        <v>116</v>
      </c>
      <c r="E13" s="38" t="s">
        <v>7</v>
      </c>
      <c r="F13" s="38" t="s">
        <v>15</v>
      </c>
      <c r="G13" s="38" t="s">
        <v>7</v>
      </c>
      <c r="H13" s="38" t="s">
        <v>15</v>
      </c>
      <c r="I13" s="38" t="s">
        <v>7</v>
      </c>
      <c r="J13" s="38" t="s">
        <v>15</v>
      </c>
      <c r="K13" s="38" t="s">
        <v>15</v>
      </c>
    </row>
    <row r="14" spans="1:11">
      <c r="A14" s="34"/>
      <c r="B14" s="34"/>
      <c r="C14" s="34"/>
      <c r="D14" s="34"/>
      <c r="E14" s="34"/>
      <c r="F14" s="34"/>
      <c r="G14" s="12"/>
      <c r="H14" s="12"/>
      <c r="I14" s="12"/>
      <c r="J14" s="12"/>
      <c r="K14" s="12"/>
    </row>
    <row r="15" spans="1:11">
      <c r="A15" s="12"/>
      <c r="B15" s="12"/>
      <c r="C15" s="12"/>
      <c r="D15" s="12"/>
      <c r="E15" s="12"/>
      <c r="F15" s="12"/>
      <c r="G15" s="12"/>
      <c r="H15" s="12"/>
      <c r="I15" s="12"/>
      <c r="J15" s="12"/>
      <c r="K15" s="12"/>
    </row>
    <row r="16" spans="1:11" ht="15.75">
      <c r="A16" s="43" t="str">
        <f>+'S&amp;D'!A22</f>
        <v>DCP Midstream LP</v>
      </c>
      <c r="B16" s="34" t="str">
        <f>+'S&amp;D'!B22</f>
        <v>DCP</v>
      </c>
      <c r="C16" s="34" t="str">
        <f>+'S&amp;D'!C22</f>
        <v>Pipeline MLPs</v>
      </c>
      <c r="D16" s="420">
        <f>+'S&amp;D'!G22</f>
        <v>38.79</v>
      </c>
      <c r="E16" s="403">
        <v>4.71</v>
      </c>
      <c r="F16" s="53">
        <f>+E16/D16</f>
        <v>0.1214230471771075</v>
      </c>
      <c r="G16" s="403">
        <v>4.25</v>
      </c>
      <c r="H16" s="53">
        <f>+G16/D16</f>
        <v>0.10956432070121165</v>
      </c>
      <c r="I16" s="403">
        <v>3.75</v>
      </c>
      <c r="J16" s="53">
        <f>+I16/D16</f>
        <v>9.6674400618716169E-2</v>
      </c>
      <c r="K16" s="425">
        <f t="shared" ref="K16:K24" si="0">RATE(3,,-G16,I16)</f>
        <v>-4.0862703135471391E-2</v>
      </c>
    </row>
    <row r="17" spans="1:11" ht="15.75">
      <c r="A17" s="43" t="str">
        <f>+'S&amp;D'!A23</f>
        <v>Enbridge Inc</v>
      </c>
      <c r="B17" s="34" t="str">
        <f>+'S&amp;D'!B23</f>
        <v>ENB.TO</v>
      </c>
      <c r="C17" s="34" t="str">
        <f>+'S&amp;D'!C23</f>
        <v>Oil &amp; Gas Distribution</v>
      </c>
      <c r="D17" s="420">
        <f>+'S&amp;D'!G23</f>
        <v>52.92</v>
      </c>
      <c r="E17" s="403">
        <v>2.81</v>
      </c>
      <c r="F17" s="53">
        <f t="shared" ref="F17:F21" si="1">+E17/D17</f>
        <v>5.3099017384731668E-2</v>
      </c>
      <c r="G17" s="403">
        <v>3</v>
      </c>
      <c r="H17" s="53">
        <f t="shared" ref="H17:H21" si="2">+G17/D17</f>
        <v>5.6689342403628114E-2</v>
      </c>
      <c r="I17" s="403">
        <v>4.5999999999999996</v>
      </c>
      <c r="J17" s="53">
        <f t="shared" ref="J17:J21" si="3">+I17/D17</f>
        <v>8.6923658352229774E-2</v>
      </c>
      <c r="K17" s="425">
        <f t="shared" ref="K17:K21" si="4">RATE(3,,-G17,I17)</f>
        <v>0.15313156133323264</v>
      </c>
    </row>
    <row r="18" spans="1:11" ht="15.75">
      <c r="A18" s="43" t="str">
        <f>+'S&amp;D'!A24</f>
        <v>Energy Transfer LP</v>
      </c>
      <c r="B18" s="34" t="str">
        <f>+'S&amp;D'!B24</f>
        <v>ET</v>
      </c>
      <c r="C18" s="34" t="str">
        <f>+'S&amp;D'!C24</f>
        <v>Pipeline MLPs</v>
      </c>
      <c r="D18" s="420">
        <f>+'S&amp;D'!G24</f>
        <v>11.87</v>
      </c>
      <c r="E18" s="403">
        <v>1.45</v>
      </c>
      <c r="F18" s="53">
        <f t="shared" si="1"/>
        <v>0.12215669755686605</v>
      </c>
      <c r="G18" s="403">
        <v>1.6</v>
      </c>
      <c r="H18" s="53">
        <f t="shared" si="2"/>
        <v>0.13479359730412807</v>
      </c>
      <c r="I18" s="403">
        <v>2.35</v>
      </c>
      <c r="J18" s="53">
        <f t="shared" si="3"/>
        <v>0.19797809604043809</v>
      </c>
      <c r="K18" s="425">
        <f t="shared" si="4"/>
        <v>0.13670898594591951</v>
      </c>
    </row>
    <row r="19" spans="1:11" ht="15.75">
      <c r="A19" s="43" t="str">
        <f>+'S&amp;D'!A25</f>
        <v>Enlink Midstream LLC</v>
      </c>
      <c r="B19" s="34" t="str">
        <f>+'S&amp;D'!B25</f>
        <v>ENLC</v>
      </c>
      <c r="C19" s="34" t="str">
        <f>+'S&amp;D'!C25</f>
        <v>Oil &amp; Gas Distribution</v>
      </c>
      <c r="D19" s="420">
        <f>+'S&amp;D'!G25</f>
        <v>12.3</v>
      </c>
      <c r="E19" s="403">
        <v>0.6</v>
      </c>
      <c r="F19" s="53">
        <f t="shared" si="1"/>
        <v>4.8780487804878044E-2</v>
      </c>
      <c r="G19" s="403">
        <v>0.65</v>
      </c>
      <c r="H19" s="53">
        <f t="shared" si="2"/>
        <v>5.2845528455284549E-2</v>
      </c>
      <c r="I19" s="403">
        <v>0.85</v>
      </c>
      <c r="J19" s="53">
        <f t="shared" si="3"/>
        <v>6.9105691056910556E-2</v>
      </c>
      <c r="K19" s="425">
        <f t="shared" si="4"/>
        <v>9.3541299792876717E-2</v>
      </c>
    </row>
    <row r="20" spans="1:11" ht="15.75">
      <c r="A20" s="43" t="str">
        <f>+'S&amp;D'!A26</f>
        <v>Enterprise Products Partnership LP</v>
      </c>
      <c r="B20" s="34" t="str">
        <f>+'S&amp;D'!B26</f>
        <v>EPD</v>
      </c>
      <c r="C20" s="34" t="str">
        <f>+'S&amp;D'!C26</f>
        <v>Pipeline MLPs</v>
      </c>
      <c r="D20" s="420">
        <f>+'S&amp;D'!G26</f>
        <v>24.12</v>
      </c>
      <c r="E20" s="403">
        <v>2.5</v>
      </c>
      <c r="F20" s="53">
        <f t="shared" si="1"/>
        <v>0.10364842454394693</v>
      </c>
      <c r="G20" s="403">
        <v>2.6</v>
      </c>
      <c r="H20" s="53">
        <f t="shared" si="2"/>
        <v>0.1077943615257048</v>
      </c>
      <c r="I20" s="403">
        <v>3.15</v>
      </c>
      <c r="J20" s="53">
        <f t="shared" si="3"/>
        <v>0.13059701492537312</v>
      </c>
      <c r="K20" s="425">
        <f t="shared" si="4"/>
        <v>6.6053667551115677E-2</v>
      </c>
    </row>
    <row r="21" spans="1:11" ht="15.75">
      <c r="A21" s="43" t="str">
        <f>+'S&amp;D'!A27</f>
        <v>Kinder Morgan Inc</v>
      </c>
      <c r="B21" s="34" t="str">
        <f>+'S&amp;D'!B27</f>
        <v>KMI</v>
      </c>
      <c r="C21" s="34" t="str">
        <f>+'S&amp;D'!C27</f>
        <v>Oil &amp; Gas Distribution</v>
      </c>
      <c r="D21" s="420">
        <f>+'S&amp;D'!G27</f>
        <v>18.079999999999998</v>
      </c>
      <c r="E21" s="403">
        <v>1.1200000000000001</v>
      </c>
      <c r="F21" s="53">
        <f t="shared" si="1"/>
        <v>6.194690265486727E-2</v>
      </c>
      <c r="G21" s="403">
        <v>1.25</v>
      </c>
      <c r="H21" s="53">
        <f t="shared" si="2"/>
        <v>6.9137168141592931E-2</v>
      </c>
      <c r="I21" s="403">
        <v>1.8</v>
      </c>
      <c r="J21" s="53">
        <f t="shared" si="3"/>
        <v>9.9557522123893821E-2</v>
      </c>
      <c r="K21" s="425">
        <f t="shared" si="4"/>
        <v>0.1292432346575455</v>
      </c>
    </row>
    <row r="22" spans="1:11" ht="15.75">
      <c r="A22" s="43" t="str">
        <f>+'S&amp;D'!A28</f>
        <v>ONEOK Inc</v>
      </c>
      <c r="B22" s="34" t="str">
        <f>+'S&amp;D'!B28</f>
        <v>OKE</v>
      </c>
      <c r="C22" s="34" t="str">
        <f>+'S&amp;D'!C28</f>
        <v>Oil &amp; Gas Distribution</v>
      </c>
      <c r="D22" s="420">
        <f>+'S&amp;D'!G28</f>
        <v>65.7</v>
      </c>
      <c r="E22" s="403">
        <v>3.8</v>
      </c>
      <c r="F22" s="53">
        <f t="shared" ref="F22:F24" si="5">+E22/D22</f>
        <v>5.7838660578386603E-2</v>
      </c>
      <c r="G22" s="403">
        <v>4.7</v>
      </c>
      <c r="H22" s="53">
        <f>+G22/D22</f>
        <v>7.1537290715372903E-2</v>
      </c>
      <c r="I22" s="403">
        <v>6.5</v>
      </c>
      <c r="J22" s="53">
        <f t="shared" ref="J22:J24" si="6">+I22/D22</f>
        <v>9.8934550989345504E-2</v>
      </c>
      <c r="K22" s="425">
        <f t="shared" si="0"/>
        <v>0.11413674954226034</v>
      </c>
    </row>
    <row r="23" spans="1:11" ht="15.75">
      <c r="A23" s="43" t="str">
        <f>+'S&amp;D'!A29</f>
        <v>TC Energy Corp</v>
      </c>
      <c r="B23" s="34" t="str">
        <f>+'S&amp;D'!B29</f>
        <v>TRP</v>
      </c>
      <c r="C23" s="34" t="str">
        <f>+'S&amp;D'!C29</f>
        <v>Oil &amp; Gas Distribution</v>
      </c>
      <c r="D23" s="420">
        <f>+'S&amp;D'!G29</f>
        <v>39.86</v>
      </c>
      <c r="E23" s="403">
        <v>2.44</v>
      </c>
      <c r="F23" s="53">
        <f t="shared" si="5"/>
        <v>6.1214249874560964E-2</v>
      </c>
      <c r="G23" s="403">
        <v>2.9</v>
      </c>
      <c r="H23" s="53">
        <f t="shared" ref="H23:H24" si="7">+G23/D23</f>
        <v>7.2754641244355239E-2</v>
      </c>
      <c r="I23" s="403">
        <v>4.75</v>
      </c>
      <c r="J23" s="53">
        <f t="shared" si="6"/>
        <v>0.11916708479678877</v>
      </c>
      <c r="K23" s="425">
        <f t="shared" si="0"/>
        <v>0.17877758942143124</v>
      </c>
    </row>
    <row r="24" spans="1:11" ht="15.75">
      <c r="A24" s="43" t="str">
        <f>+'S&amp;D'!A30</f>
        <v>Williams Companys Inc</v>
      </c>
      <c r="B24" s="34" t="str">
        <f>+'S&amp;D'!B30</f>
        <v>WMB</v>
      </c>
      <c r="C24" s="34" t="str">
        <f>+'S&amp;D'!C30</f>
        <v>Oil &amp; Gas Distribution</v>
      </c>
      <c r="D24" s="420">
        <f>+'S&amp;D'!G30</f>
        <v>32.9</v>
      </c>
      <c r="E24" s="403">
        <v>1.7</v>
      </c>
      <c r="F24" s="53">
        <f t="shared" si="5"/>
        <v>5.1671732522796353E-2</v>
      </c>
      <c r="G24" s="403">
        <v>1.85</v>
      </c>
      <c r="H24" s="53">
        <f t="shared" si="7"/>
        <v>5.6231003039513686E-2</v>
      </c>
      <c r="I24" s="403">
        <v>2.4</v>
      </c>
      <c r="J24" s="53">
        <f t="shared" si="6"/>
        <v>7.29483282674772E-2</v>
      </c>
      <c r="K24" s="425">
        <f t="shared" si="0"/>
        <v>9.0636022289195178E-2</v>
      </c>
    </row>
    <row r="25" spans="1:11" ht="15.75" thickBot="1">
      <c r="A25" s="12"/>
      <c r="B25" s="12"/>
      <c r="C25" s="43"/>
      <c r="D25" s="46"/>
      <c r="E25" s="46"/>
      <c r="F25" s="46"/>
      <c r="G25" s="46"/>
      <c r="H25" s="46"/>
      <c r="I25" s="46"/>
      <c r="J25" s="46"/>
      <c r="K25" s="46"/>
    </row>
    <row r="26" spans="1:11" ht="15.75" thickTop="1">
      <c r="A26" s="12"/>
      <c r="B26" s="12"/>
      <c r="D26" s="14" t="s">
        <v>46</v>
      </c>
      <c r="E26" s="16">
        <v>4.71</v>
      </c>
      <c r="F26" s="326">
        <v>0.1222</v>
      </c>
      <c r="G26" s="16">
        <v>4.7</v>
      </c>
      <c r="H26" s="326">
        <v>0.1348</v>
      </c>
      <c r="I26" s="16">
        <v>6.5</v>
      </c>
      <c r="J26" s="326">
        <v>0.19800000000000001</v>
      </c>
      <c r="K26" s="326">
        <v>0.17879999999999999</v>
      </c>
    </row>
    <row r="27" spans="1:11">
      <c r="A27" s="12"/>
      <c r="B27" s="12"/>
      <c r="D27" s="355" t="s">
        <v>47</v>
      </c>
      <c r="E27" s="351">
        <v>0.6</v>
      </c>
      <c r="F27" s="352">
        <v>4.8800000000000003E-2</v>
      </c>
      <c r="G27" s="351">
        <v>0.65</v>
      </c>
      <c r="H27" s="352">
        <v>5.28E-2</v>
      </c>
      <c r="I27" s="351">
        <v>0.85</v>
      </c>
      <c r="J27" s="352">
        <v>6.9099999999999995E-2</v>
      </c>
      <c r="K27" s="352">
        <v>-4.0899999999999999E-2</v>
      </c>
    </row>
    <row r="28" spans="1:11">
      <c r="A28" s="12"/>
      <c r="B28" s="12"/>
      <c r="D28" s="14" t="s">
        <v>18</v>
      </c>
      <c r="E28" s="17">
        <f t="shared" ref="E28:K28" si="8">MEDIAN(E16:E24)</f>
        <v>2.44</v>
      </c>
      <c r="F28" s="54">
        <f t="shared" si="8"/>
        <v>6.1214249874560964E-2</v>
      </c>
      <c r="G28" s="17">
        <f t="shared" si="8"/>
        <v>2.6</v>
      </c>
      <c r="H28" s="54">
        <f t="shared" si="8"/>
        <v>7.1537290715372903E-2</v>
      </c>
      <c r="I28" s="17">
        <f t="shared" si="8"/>
        <v>3.15</v>
      </c>
      <c r="J28" s="54">
        <f t="shared" si="8"/>
        <v>9.8934550989345504E-2</v>
      </c>
      <c r="K28" s="54">
        <f t="shared" si="8"/>
        <v>0.11413674954226034</v>
      </c>
    </row>
    <row r="29" spans="1:11">
      <c r="A29" s="12"/>
      <c r="B29" s="12"/>
      <c r="D29" s="14" t="s">
        <v>460</v>
      </c>
      <c r="E29" s="21">
        <f t="shared" ref="E29:K29" si="9">AVERAGE(E16:E24)</f>
        <v>2.3477777777777775</v>
      </c>
      <c r="F29" s="56">
        <f t="shared" si="9"/>
        <v>7.5753246677571259E-2</v>
      </c>
      <c r="G29" s="21">
        <f t="shared" si="9"/>
        <v>2.5333333333333332</v>
      </c>
      <c r="H29" s="56">
        <f t="shared" si="9"/>
        <v>8.1260805947865777E-2</v>
      </c>
      <c r="I29" s="21">
        <f t="shared" si="9"/>
        <v>3.3499999999999996</v>
      </c>
      <c r="J29" s="56">
        <f t="shared" si="9"/>
        <v>0.10798737190790811</v>
      </c>
      <c r="K29" s="56">
        <f t="shared" si="9"/>
        <v>0.10237404526645616</v>
      </c>
    </row>
    <row r="30" spans="1:11">
      <c r="A30" s="12"/>
      <c r="B30" s="12"/>
      <c r="C30" s="12"/>
      <c r="D30" s="12"/>
      <c r="E30" s="12"/>
      <c r="F30" s="12"/>
      <c r="G30" s="12"/>
      <c r="H30" s="12"/>
      <c r="I30" s="12"/>
      <c r="J30" s="12"/>
      <c r="K30" s="12"/>
    </row>
    <row r="31" spans="1:11" ht="20.25">
      <c r="A31" s="12"/>
      <c r="B31" s="12"/>
      <c r="C31" s="12"/>
      <c r="D31" s="12"/>
      <c r="E31" s="12"/>
      <c r="F31" s="49" t="s">
        <v>0</v>
      </c>
      <c r="G31" s="63" t="s">
        <v>0</v>
      </c>
      <c r="H31" s="12"/>
      <c r="I31" s="12"/>
      <c r="J31" s="12"/>
      <c r="K31" s="12"/>
    </row>
    <row r="32" spans="1:11" ht="18.75">
      <c r="A32" s="241" t="s">
        <v>288</v>
      </c>
    </row>
  </sheetData>
  <pageMargins left="0.25" right="0.25" top="0.75" bottom="0.75" header="0.3" footer="0.3"/>
  <pageSetup scale="5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CFB36B36E7EE46B860E7832FBC9DDB" ma:contentTypeVersion="1" ma:contentTypeDescription="Create a new document." ma:contentTypeScope="" ma:versionID="bff476506a81a32367fb2f95cb3debc2">
  <xsd:schema xmlns:xsd="http://www.w3.org/2001/XMLSchema" xmlns:xs="http://www.w3.org/2001/XMLSchema" xmlns:p="http://schemas.microsoft.com/office/2006/metadata/properties" xmlns:ns2="f94b9277-b0a3-4d91-bade-04ea91219630" targetNamespace="http://schemas.microsoft.com/office/2006/metadata/properties" ma:root="true" ma:fieldsID="93ea9a64a9ab47897a537ad3dd05bc89" ns2:_="">
    <xsd:import namespace="f94b9277-b0a3-4d91-bade-04ea9121963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FC9E22-7145-4F13-8425-0EA2BECCB9CC}"/>
</file>

<file path=customXml/itemProps2.xml><?xml version="1.0" encoding="utf-8"?>
<ds:datastoreItem xmlns:ds="http://schemas.openxmlformats.org/officeDocument/2006/customXml" ds:itemID="{C814DA77-6D4F-4896-AD86-BB2996240218}"/>
</file>

<file path=customXml/itemProps3.xml><?xml version="1.0" encoding="utf-8"?>
<ds:datastoreItem xmlns:ds="http://schemas.openxmlformats.org/officeDocument/2006/customXml" ds:itemID="{6AA9F1E2-217C-465F-AD39-2F44C9FD4A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Dividends </vt:lpstr>
      <vt:lpstr>Earnings</vt:lpstr>
      <vt:lpstr>Direct Debt</vt:lpstr>
      <vt:lpstr>Yield Debt</vt:lpstr>
      <vt:lpstr>Direct GCF</vt:lpstr>
      <vt:lpstr>Direct NOPAT</vt:lpstr>
      <vt:lpstr>Growth &amp; Inflation Rates</vt:lpstr>
      <vt:lpstr>Indicated Yield Equity Rate </vt:lpstr>
      <vt:lpstr>CAPM</vt:lpstr>
      <vt:lpstr>Single Stage Div Growth Model</vt:lpstr>
      <vt:lpstr>Two-Stage Div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 '!Print_Area</vt:lpstr>
      <vt:lpstr>'Maintenance CapEx'!Print_Area</vt:lpstr>
      <vt:lpstr>'Market to Book Ratios'!Print_Area</vt:lpstr>
      <vt:lpstr>Multiples!Print_Area</vt:lpstr>
      <vt:lpstr>'S&amp;D'!Print_Area</vt:lpstr>
      <vt:lpstr>'Single Stage Div Growth Model'!Print_Area</vt:lpstr>
      <vt:lpstr>'Two-Stage Div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Cap Rate Study - Natural Gas Transmission Pipelines</dc:title>
  <dc:creator>%USERNAME%</dc:creator>
  <cp:lastModifiedBy>Baker, Mike A (DOR)</cp:lastModifiedBy>
  <cp:lastPrinted>2023-05-30T17:10:49Z</cp:lastPrinted>
  <dcterms:created xsi:type="dcterms:W3CDTF">2016-02-12T19:29:24Z</dcterms:created>
  <dcterms:modified xsi:type="dcterms:W3CDTF">2023-06-05T15:18:07Z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0x01010019CFB36B36E7EE46B860E7832FBC9DDB</vt:lpwstr>
  </property>
</Properties>
</file>